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2a981721c7e44462/Columbia MSRED/ULI Hines Competition - Miami/Final Submission/Final Submission 2020-04-05/"/>
    </mc:Choice>
  </mc:AlternateContent>
  <xr:revisionPtr revIDLastSave="357" documentId="8_{FB829D3A-B55B-4729-932A-6FCEC223A5FE}" xr6:coauthVersionLast="45" xr6:coauthVersionMax="45" xr10:uidLastSave="{69509950-83FD-4469-A1B2-E1A4D5629948}"/>
  <bookViews>
    <workbookView xWindow="-108" yWindow="-108" windowWidth="23256" windowHeight="12576" tabRatio="904" firstSheet="1" activeTab="1" xr2:uid="{00000000-000D-0000-FFFF-FFFF00000000}"/>
  </bookViews>
  <sheets>
    <sheet name="Official Summary Board" sheetId="28" r:id="rId1"/>
    <sheet name="Development Summary" sheetId="56" r:id="rId2"/>
    <sheet name="Building Source Data v02" sheetId="59" state="hidden" r:id="rId3"/>
    <sheet name="Building Summary" sheetId="57" r:id="rId4"/>
    <sheet name="Building Source Data" sheetId="58" state="hidden" r:id="rId5"/>
    <sheet name="Infrastructure Budget" sheetId="53" r:id="rId6"/>
    <sheet name="Area Matrix" sheetId="37" r:id="rId7"/>
    <sheet name="Taxes" sheetId="51" r:id="rId8"/>
    <sheet name="Parcels" sheetId="31" r:id="rId9"/>
    <sheet name="Phase I - Summary" sheetId="29" r:id="rId10"/>
    <sheet name="Phase I - Pro Forma" sheetId="35" r:id="rId11"/>
    <sheet name="Phase I - CF MF Market Rental" sheetId="39" r:id="rId12"/>
    <sheet name="Phase I - CF Affordable Rental" sheetId="49" r:id="rId13"/>
    <sheet name="Phase I - CF Commercial" sheetId="40" r:id="rId14"/>
    <sheet name="Phase I - CF Hotel" sheetId="41" state="hidden" r:id="rId15"/>
    <sheet name="Phase I - CF Retail" sheetId="42" r:id="rId16"/>
    <sheet name="Phase II - Summary" sheetId="43" r:id="rId17"/>
    <sheet name="Phase II - Pro Forma" sheetId="44" r:id="rId18"/>
    <sheet name="Phase II - CF MF Market Rental" sheetId="45" r:id="rId19"/>
    <sheet name="Phase II - CF Affordable Rental" sheetId="50" r:id="rId20"/>
    <sheet name="Phase II - CF Commercial" sheetId="46" r:id="rId21"/>
    <sheet name="Phase II - CF Hotel" sheetId="47" r:id="rId22"/>
    <sheet name="Phase II - CF Retail" sheetId="48" r:id="rId23"/>
  </sheets>
  <externalReferences>
    <externalReference r:id="rId24"/>
  </externalReferences>
  <definedNames>
    <definedName name="_xlnm._FilterDatabase" localSheetId="8" hidden="1">Parcels!$B$10:$AA$94</definedName>
    <definedName name="_xlnm.Print_Area" localSheetId="6">'Area Matrix'!$B$2:$T$62</definedName>
    <definedName name="_xlnm.Print_Area" localSheetId="3">'Building Summary'!$B$2:$S$32</definedName>
    <definedName name="_xlnm.Print_Area" localSheetId="1">'Development Summary'!$B$2:$T$54</definedName>
    <definedName name="_xlnm.Print_Area" localSheetId="5">'Infrastructure Budget'!$B$2:$I$37</definedName>
    <definedName name="_xlnm.Print_Area" localSheetId="0">'Official Summary Board'!$B$2:$P$104</definedName>
    <definedName name="_xlnm.Print_Area" localSheetId="8">Parcels!$B$2:$AA$97</definedName>
    <definedName name="_xlnm.Print_Area" localSheetId="12">'Phase I - CF Affordable Rental'!$B$2:$R$87</definedName>
    <definedName name="_xlnm.Print_Area" localSheetId="13">'Phase I - CF Commercial'!$B$2:$R$88</definedName>
    <definedName name="_xlnm.Print_Area" localSheetId="14">'Phase I - CF Hotel'!$B$2:$R$93</definedName>
    <definedName name="_xlnm.Print_Area" localSheetId="11">'Phase I - CF MF Market Rental'!$B$2:$R$88</definedName>
    <definedName name="_xlnm.Print_Area" localSheetId="15">'Phase I - CF Retail'!$B$2:$R$90</definedName>
    <definedName name="_xlnm.Print_Area" localSheetId="10">'Phase I - Pro Forma'!$B$2:$Q$78</definedName>
    <definedName name="_xlnm.Print_Area" localSheetId="9">'Phase I - Summary'!$B$2:$J$51</definedName>
    <definedName name="_xlnm.Print_Area" localSheetId="19">'Phase II - CF Affordable Rental'!$B$2:$R$87</definedName>
    <definedName name="_xlnm.Print_Area" localSheetId="20">'Phase II - CF Commercial'!$B$2:$R$89</definedName>
    <definedName name="_xlnm.Print_Area" localSheetId="21">'Phase II - CF Hotel'!$B$2:$R$89</definedName>
    <definedName name="_xlnm.Print_Area" localSheetId="18">'Phase II - CF MF Market Rental'!$B$2:$R$88</definedName>
    <definedName name="_xlnm.Print_Area" localSheetId="22">'Phase II - CF Retail'!$B$2:$R$90</definedName>
    <definedName name="_xlnm.Print_Area" localSheetId="17">'Phase II - Pro Forma'!$B$2:$Q$77</definedName>
    <definedName name="_xlnm.Print_Area" localSheetId="16">'Phase II - Summary'!$B$2:$J$49</definedName>
    <definedName name="_xlnm.Print_Area" localSheetId="7">Taxes!$B$2:$AD$57</definedName>
  </definedNames>
  <calcPr calcId="191029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9" i="50" l="1"/>
  <c r="G19" i="49"/>
  <c r="P31" i="57"/>
  <c r="O31" i="57"/>
  <c r="N30" i="56" l="1"/>
  <c r="N14" i="56"/>
  <c r="N22" i="56"/>
  <c r="P15" i="57"/>
  <c r="Q15" i="57"/>
  <c r="R15" i="57"/>
  <c r="S15" i="57"/>
  <c r="O15" i="57"/>
  <c r="E15" i="57"/>
  <c r="F15" i="57"/>
  <c r="G15" i="57"/>
  <c r="H15" i="57"/>
  <c r="I15" i="57"/>
  <c r="J15" i="57"/>
  <c r="D15" i="57"/>
  <c r="D44" i="37"/>
  <c r="S18" i="57" l="1"/>
  <c r="P16" i="57" l="1"/>
  <c r="P17" i="57" s="1"/>
  <c r="E18" i="53" l="1" a="1"/>
  <c r="E19" i="53" s="1"/>
  <c r="E18" i="53"/>
  <c r="D13" i="53" a="1"/>
  <c r="D17" i="53" s="1"/>
  <c r="D16" i="53"/>
  <c r="I19" i="57"/>
  <c r="J19" i="57"/>
  <c r="H19" i="57"/>
  <c r="G19" i="57"/>
  <c r="E19" i="57"/>
  <c r="F19" i="57"/>
  <c r="D19" i="57"/>
  <c r="D15" i="53" l="1"/>
  <c r="D14" i="53"/>
  <c r="D13" i="53"/>
  <c r="T34" i="59"/>
  <c r="T33" i="59"/>
  <c r="Q30" i="59"/>
  <c r="S12" i="57" s="1"/>
  <c r="P30" i="59"/>
  <c r="R12" i="57" s="1"/>
  <c r="O30" i="59"/>
  <c r="Q12" i="57" s="1"/>
  <c r="Q20" i="57" s="1"/>
  <c r="N30" i="59"/>
  <c r="P12" i="57" s="1"/>
  <c r="P14" i="57" s="1"/>
  <c r="P21" i="57" s="1"/>
  <c r="M30" i="59"/>
  <c r="O12" i="57" s="1"/>
  <c r="K30" i="59"/>
  <c r="J12" i="57" s="1"/>
  <c r="J30" i="59"/>
  <c r="I12" i="57" s="1"/>
  <c r="I30" i="59"/>
  <c r="H12" i="57" s="1"/>
  <c r="G30" i="59"/>
  <c r="G12" i="57" s="1"/>
  <c r="F30" i="59"/>
  <c r="F12" i="57" s="1"/>
  <c r="E30" i="59"/>
  <c r="E12" i="57" s="1"/>
  <c r="D30" i="59"/>
  <c r="D12" i="57" s="1"/>
  <c r="B4" i="59"/>
  <c r="B5" i="59" s="1"/>
  <c r="B6" i="59" s="1"/>
  <c r="B7" i="59" s="1"/>
  <c r="B8" i="59" s="1"/>
  <c r="B9" i="59" s="1"/>
  <c r="B10" i="59" s="1"/>
  <c r="B11" i="59" s="1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E2" i="59"/>
  <c r="F2" i="59" s="1"/>
  <c r="G2" i="59" s="1"/>
  <c r="I2" i="59" s="1"/>
  <c r="J2" i="59" s="1"/>
  <c r="K2" i="59" s="1"/>
  <c r="M2" i="59" s="1"/>
  <c r="N2" i="59" s="1"/>
  <c r="O2" i="59" s="1"/>
  <c r="P2" i="59" s="1"/>
  <c r="Q2" i="59" s="1"/>
  <c r="H34" i="57" l="1"/>
  <c r="H18" i="57"/>
  <c r="H28" i="57" s="1"/>
  <c r="I18" i="57"/>
  <c r="I28" i="57" s="1"/>
  <c r="T36" i="59"/>
  <c r="D37" i="59" s="1"/>
  <c r="D34" i="59"/>
  <c r="D16" i="43" s="1"/>
  <c r="D33" i="59"/>
  <c r="D16" i="29" s="1"/>
  <c r="J31" i="59"/>
  <c r="K31" i="59"/>
  <c r="D31" i="59"/>
  <c r="F31" i="59"/>
  <c r="E31" i="59"/>
  <c r="G31" i="59"/>
  <c r="I31" i="59"/>
  <c r="D100" i="28"/>
  <c r="Q31" i="59" l="1"/>
  <c r="E34" i="59" s="1"/>
  <c r="P31" i="59"/>
  <c r="N31" i="59"/>
  <c r="I34" i="57"/>
  <c r="O31" i="59"/>
  <c r="M31" i="59"/>
  <c r="D36" i="59"/>
  <c r="D39" i="59" s="1"/>
  <c r="E33" i="59"/>
  <c r="X34" i="37"/>
  <c r="Z30" i="37"/>
  <c r="Z31" i="37"/>
  <c r="Z32" i="37"/>
  <c r="Z33" i="37"/>
  <c r="Z29" i="37"/>
  <c r="X23" i="37"/>
  <c r="P19" i="57" l="1"/>
  <c r="Q19" i="57"/>
  <c r="R19" i="57"/>
  <c r="S19" i="57"/>
  <c r="O19" i="57"/>
  <c r="J33" i="58"/>
  <c r="H33" i="58"/>
  <c r="N32" i="58"/>
  <c r="S29" i="58"/>
  <c r="R29" i="58"/>
  <c r="Q29" i="58"/>
  <c r="P29" i="58"/>
  <c r="O29" i="58"/>
  <c r="N29" i="58"/>
  <c r="L29" i="58"/>
  <c r="K29" i="58"/>
  <c r="J29" i="58"/>
  <c r="I29" i="58"/>
  <c r="H29" i="58"/>
  <c r="G29" i="58"/>
  <c r="F29" i="58"/>
  <c r="E29" i="58"/>
  <c r="E32" i="58" s="1"/>
  <c r="E34" i="58" s="1"/>
  <c r="D4" i="58"/>
  <c r="D5" i="58" s="1"/>
  <c r="D6" i="58" s="1"/>
  <c r="D7" i="58" s="1"/>
  <c r="D8" i="58" s="1"/>
  <c r="D9" i="58" s="1"/>
  <c r="D10" i="58" s="1"/>
  <c r="D11" i="58" s="1"/>
  <c r="D12" i="58" s="1"/>
  <c r="D13" i="58" s="1"/>
  <c r="D14" i="58" s="1"/>
  <c r="D15" i="58" s="1"/>
  <c r="D16" i="58" s="1"/>
  <c r="D17" i="58" s="1"/>
  <c r="D18" i="58" s="1"/>
  <c r="D19" i="58" s="1"/>
  <c r="D20" i="58" s="1"/>
  <c r="D21" i="58" s="1"/>
  <c r="D22" i="58" s="1"/>
  <c r="D23" i="58" s="1"/>
  <c r="D24" i="58" s="1"/>
  <c r="D25" i="58" s="1"/>
  <c r="D26" i="58" s="1"/>
  <c r="D27" i="58" s="1"/>
  <c r="D28" i="58" s="1"/>
  <c r="K20" i="57" l="1"/>
  <c r="G33" i="56" l="1"/>
  <c r="G34" i="56"/>
  <c r="J33" i="56"/>
  <c r="J34" i="56"/>
  <c r="T54" i="56"/>
  <c r="T49" i="56"/>
  <c r="T50" i="56"/>
  <c r="T51" i="56"/>
  <c r="T52" i="56"/>
  <c r="T53" i="56"/>
  <c r="T48" i="56"/>
  <c r="Q49" i="56"/>
  <c r="Q50" i="56"/>
  <c r="Q51" i="56"/>
  <c r="Q52" i="56"/>
  <c r="Q53" i="56"/>
  <c r="Q48" i="56"/>
  <c r="T44" i="56"/>
  <c r="T39" i="56"/>
  <c r="T40" i="56"/>
  <c r="T41" i="56"/>
  <c r="T42" i="56"/>
  <c r="T43" i="56"/>
  <c r="T38" i="56"/>
  <c r="Q39" i="56"/>
  <c r="Q40" i="56"/>
  <c r="Q41" i="56"/>
  <c r="Q42" i="56"/>
  <c r="Q43" i="56"/>
  <c r="Q38" i="56"/>
  <c r="T14" i="56"/>
  <c r="T15" i="56"/>
  <c r="T13" i="56"/>
  <c r="T30" i="56"/>
  <c r="T31" i="56"/>
  <c r="T32" i="56"/>
  <c r="T33" i="56"/>
  <c r="T34" i="56"/>
  <c r="T35" i="56"/>
  <c r="T29" i="56"/>
  <c r="Q30" i="56"/>
  <c r="Q31" i="56"/>
  <c r="Q32" i="56"/>
  <c r="Q33" i="56"/>
  <c r="Q34" i="56"/>
  <c r="Q35" i="56"/>
  <c r="Q29" i="56"/>
  <c r="T26" i="56"/>
  <c r="T25" i="56"/>
  <c r="T24" i="56"/>
  <c r="T23" i="56"/>
  <c r="T18" i="56"/>
  <c r="Q18" i="56"/>
  <c r="T20" i="56"/>
  <c r="T21" i="56"/>
  <c r="T22" i="56"/>
  <c r="T19" i="56"/>
  <c r="Q20" i="56"/>
  <c r="Q21" i="56"/>
  <c r="Q22" i="56"/>
  <c r="Q19" i="56"/>
  <c r="J29" i="56"/>
  <c r="J28" i="56"/>
  <c r="E32" i="56" l="1"/>
  <c r="E30" i="56"/>
  <c r="E29" i="56"/>
  <c r="E25" i="56"/>
  <c r="E27" i="56" s="1"/>
  <c r="E31" i="56" l="1"/>
  <c r="E33" i="56" s="1"/>
  <c r="E35" i="56" s="1"/>
  <c r="M43" i="28" l="1"/>
  <c r="N43" i="28"/>
  <c r="O43" i="28"/>
  <c r="P43" i="28"/>
  <c r="E39" i="53"/>
  <c r="D39" i="53"/>
  <c r="E60" i="28"/>
  <c r="H27" i="43" l="1"/>
  <c r="G91" i="28"/>
  <c r="F91" i="28"/>
  <c r="I29" i="53"/>
  <c r="G29" i="53"/>
  <c r="F29" i="53"/>
  <c r="I32" i="53"/>
  <c r="G32" i="53"/>
  <c r="F32" i="53"/>
  <c r="E27" i="53"/>
  <c r="G27" i="53" s="1"/>
  <c r="D27" i="53"/>
  <c r="E25" i="53"/>
  <c r="G25" i="53" s="1"/>
  <c r="D25" i="53"/>
  <c r="F25" i="53" s="1"/>
  <c r="G23" i="53"/>
  <c r="F23" i="53"/>
  <c r="G21" i="53"/>
  <c r="K39" i="28" s="1"/>
  <c r="F21" i="53"/>
  <c r="H39" i="28" s="1"/>
  <c r="G19" i="53"/>
  <c r="H19" i="53"/>
  <c r="F19" i="53"/>
  <c r="H14" i="53"/>
  <c r="H15" i="53"/>
  <c r="H16" i="53"/>
  <c r="H17" i="53"/>
  <c r="H18" i="53"/>
  <c r="F14" i="53"/>
  <c r="G14" i="53"/>
  <c r="F15" i="53"/>
  <c r="G15" i="53"/>
  <c r="F16" i="53"/>
  <c r="G16" i="53"/>
  <c r="F17" i="53"/>
  <c r="G17" i="53"/>
  <c r="F18" i="53"/>
  <c r="G18" i="53"/>
  <c r="G13" i="53"/>
  <c r="H23" i="53"/>
  <c r="H21" i="53"/>
  <c r="H13" i="53"/>
  <c r="I19" i="53" l="1"/>
  <c r="M51" i="56"/>
  <c r="H28" i="29"/>
  <c r="G39" i="53"/>
  <c r="L42" i="28"/>
  <c r="J42" i="28"/>
  <c r="K42" i="28"/>
  <c r="G39" i="28"/>
  <c r="I39" i="28"/>
  <c r="I23" i="53"/>
  <c r="G96" i="28" s="1"/>
  <c r="H40" i="28"/>
  <c r="G40" i="28"/>
  <c r="I40" i="28"/>
  <c r="J39" i="28"/>
  <c r="H39" i="53"/>
  <c r="K40" i="28"/>
  <c r="J40" i="28"/>
  <c r="L40" i="28"/>
  <c r="L39" i="28"/>
  <c r="I21" i="53"/>
  <c r="G94" i="28" s="1"/>
  <c r="H27" i="53"/>
  <c r="F27" i="53"/>
  <c r="I25" i="53"/>
  <c r="G98" i="28" s="1"/>
  <c r="H25" i="53"/>
  <c r="I14" i="53"/>
  <c r="I16" i="53"/>
  <c r="I18" i="53"/>
  <c r="I15" i="53"/>
  <c r="I17" i="53"/>
  <c r="F13" i="53"/>
  <c r="D32" i="57" l="1"/>
  <c r="H52" i="56"/>
  <c r="C52" i="56"/>
  <c r="G32" i="57"/>
  <c r="I13" i="53"/>
  <c r="F39" i="53"/>
  <c r="I27" i="53"/>
  <c r="E95" i="28" s="1"/>
  <c r="I42" i="28"/>
  <c r="G42" i="28"/>
  <c r="H42" i="28"/>
  <c r="J38" i="28"/>
  <c r="K38" i="28"/>
  <c r="L38" i="28"/>
  <c r="C49" i="46"/>
  <c r="H38" i="28" l="1"/>
  <c r="I38" i="28"/>
  <c r="G38" i="28"/>
  <c r="I39" i="53"/>
  <c r="E97" i="28"/>
  <c r="C51" i="48"/>
  <c r="N20" i="48"/>
  <c r="N20" i="46"/>
  <c r="M21" i="50"/>
  <c r="M22" i="45"/>
  <c r="C51" i="42"/>
  <c r="N20" i="42"/>
  <c r="N20" i="40"/>
  <c r="C49" i="40"/>
  <c r="M21" i="49"/>
  <c r="M22" i="39" l="1"/>
  <c r="X18" i="51" l="1"/>
  <c r="H18" i="51"/>
  <c r="X12" i="51"/>
  <c r="X14" i="51" s="1"/>
  <c r="H12" i="51"/>
  <c r="H14" i="51" s="1"/>
  <c r="Z53" i="51"/>
  <c r="X53" i="51"/>
  <c r="V53" i="51"/>
  <c r="Z52" i="51"/>
  <c r="X52" i="51"/>
  <c r="V52" i="51"/>
  <c r="Z51" i="51"/>
  <c r="X51" i="51"/>
  <c r="V51" i="51"/>
  <c r="Z50" i="51"/>
  <c r="X50" i="51"/>
  <c r="V50" i="51"/>
  <c r="Z49" i="51"/>
  <c r="X49" i="51"/>
  <c r="V49" i="51"/>
  <c r="Z48" i="51"/>
  <c r="X48" i="51"/>
  <c r="V48" i="51"/>
  <c r="Z47" i="51"/>
  <c r="X47" i="51"/>
  <c r="V47" i="51"/>
  <c r="Z46" i="51"/>
  <c r="X46" i="51"/>
  <c r="V46" i="51"/>
  <c r="Z45" i="51"/>
  <c r="X45" i="51"/>
  <c r="V45" i="51"/>
  <c r="Z44" i="51"/>
  <c r="X44" i="51"/>
  <c r="V44" i="51"/>
  <c r="Z43" i="51"/>
  <c r="X43" i="51"/>
  <c r="V43" i="51"/>
  <c r="Z42" i="51"/>
  <c r="X42" i="51"/>
  <c r="V42" i="51"/>
  <c r="Z41" i="51"/>
  <c r="X41" i="51"/>
  <c r="V41" i="51"/>
  <c r="Z40" i="51"/>
  <c r="X40" i="51"/>
  <c r="V40" i="51"/>
  <c r="Z39" i="51"/>
  <c r="X39" i="51"/>
  <c r="V39" i="51"/>
  <c r="Z38" i="51"/>
  <c r="X38" i="51"/>
  <c r="V38" i="51"/>
  <c r="Z37" i="51"/>
  <c r="X37" i="51"/>
  <c r="V37" i="51"/>
  <c r="Z36" i="51"/>
  <c r="X36" i="51"/>
  <c r="V36" i="51"/>
  <c r="Z35" i="51"/>
  <c r="X35" i="51"/>
  <c r="V35" i="51"/>
  <c r="Z34" i="51"/>
  <c r="X34" i="51"/>
  <c r="V34" i="51"/>
  <c r="Z33" i="51"/>
  <c r="X33" i="51"/>
  <c r="V33" i="51"/>
  <c r="Z32" i="51"/>
  <c r="X32" i="51"/>
  <c r="V32" i="51"/>
  <c r="Z31" i="51"/>
  <c r="X31" i="51"/>
  <c r="V31" i="51"/>
  <c r="Z30" i="51"/>
  <c r="X30" i="51"/>
  <c r="V30" i="51"/>
  <c r="Z29" i="51"/>
  <c r="X29" i="51"/>
  <c r="V29" i="51"/>
  <c r="Z28" i="51"/>
  <c r="X28" i="51"/>
  <c r="V28" i="51"/>
  <c r="Z27" i="51"/>
  <c r="X27" i="51"/>
  <c r="V27" i="51"/>
  <c r="Z26" i="51"/>
  <c r="X26" i="51"/>
  <c r="V26" i="51"/>
  <c r="Z25" i="51"/>
  <c r="AC25" i="51" s="1"/>
  <c r="AD25" i="51" s="1"/>
  <c r="AE25" i="51" s="1"/>
  <c r="X25" i="51"/>
  <c r="V25" i="51"/>
  <c r="AC24" i="51"/>
  <c r="AD24" i="51" s="1"/>
  <c r="AE24" i="51" s="1"/>
  <c r="Z24" i="51"/>
  <c r="X24" i="51"/>
  <c r="V24" i="51"/>
  <c r="T24" i="51"/>
  <c r="T25" i="51" s="1"/>
  <c r="T26" i="51" s="1"/>
  <c r="R24" i="51"/>
  <c r="R25" i="51" s="1"/>
  <c r="R26" i="51" s="1"/>
  <c r="R27" i="51" s="1"/>
  <c r="R28" i="51" s="1"/>
  <c r="R29" i="51" s="1"/>
  <c r="R30" i="51" s="1"/>
  <c r="R31" i="51" s="1"/>
  <c r="R32" i="51" s="1"/>
  <c r="R33" i="51" s="1"/>
  <c r="R34" i="51" s="1"/>
  <c r="R35" i="51" s="1"/>
  <c r="R36" i="51" s="1"/>
  <c r="R37" i="51" s="1"/>
  <c r="R38" i="51" s="1"/>
  <c r="R39" i="51" s="1"/>
  <c r="R40" i="51" s="1"/>
  <c r="R41" i="51" s="1"/>
  <c r="R42" i="51" s="1"/>
  <c r="R43" i="51" s="1"/>
  <c r="R44" i="51" s="1"/>
  <c r="R45" i="51" s="1"/>
  <c r="R46" i="51" s="1"/>
  <c r="R47" i="51" s="1"/>
  <c r="R48" i="51" s="1"/>
  <c r="R49" i="51" s="1"/>
  <c r="R50" i="51" s="1"/>
  <c r="R51" i="51" s="1"/>
  <c r="R52" i="51" s="1"/>
  <c r="R53" i="51" s="1"/>
  <c r="Z23" i="51"/>
  <c r="AC23" i="51" s="1"/>
  <c r="AD23" i="51" s="1"/>
  <c r="AE23" i="51" s="1"/>
  <c r="X23" i="51"/>
  <c r="V23" i="51"/>
  <c r="S23" i="51"/>
  <c r="S24" i="51" s="1"/>
  <c r="M24" i="51"/>
  <c r="N24" i="51" s="1"/>
  <c r="O24" i="51" s="1"/>
  <c r="M25" i="51"/>
  <c r="N25" i="51" s="1"/>
  <c r="O25" i="51" s="1"/>
  <c r="J24" i="51"/>
  <c r="J25" i="51"/>
  <c r="J26" i="51"/>
  <c r="J27" i="51"/>
  <c r="J28" i="51"/>
  <c r="J29" i="51"/>
  <c r="J30" i="51"/>
  <c r="J31" i="51"/>
  <c r="J32" i="51"/>
  <c r="J33" i="51"/>
  <c r="J34" i="51"/>
  <c r="J35" i="51"/>
  <c r="J36" i="51"/>
  <c r="J37" i="51"/>
  <c r="J38" i="51"/>
  <c r="J39" i="51"/>
  <c r="J40" i="51"/>
  <c r="J41" i="51"/>
  <c r="J42" i="51"/>
  <c r="J43" i="51"/>
  <c r="J44" i="51"/>
  <c r="J45" i="51"/>
  <c r="J46" i="51"/>
  <c r="J47" i="51"/>
  <c r="J48" i="51"/>
  <c r="J49" i="51"/>
  <c r="J50" i="51"/>
  <c r="J51" i="51"/>
  <c r="J52" i="51"/>
  <c r="J53" i="51"/>
  <c r="H24" i="51"/>
  <c r="H25" i="51"/>
  <c r="H26" i="51"/>
  <c r="H27" i="51"/>
  <c r="H28" i="51"/>
  <c r="H29" i="51"/>
  <c r="H30" i="51"/>
  <c r="H31" i="51"/>
  <c r="H32" i="51"/>
  <c r="H33" i="51"/>
  <c r="H34" i="51"/>
  <c r="H35" i="51"/>
  <c r="H36" i="51"/>
  <c r="H37" i="51"/>
  <c r="H38" i="51"/>
  <c r="H39" i="51"/>
  <c r="H40" i="51"/>
  <c r="H41" i="51"/>
  <c r="H42" i="51"/>
  <c r="H43" i="51"/>
  <c r="H44" i="51"/>
  <c r="H45" i="51"/>
  <c r="H46" i="51"/>
  <c r="H47" i="51"/>
  <c r="H48" i="51"/>
  <c r="H49" i="51"/>
  <c r="H50" i="51"/>
  <c r="H51" i="51"/>
  <c r="H52" i="51"/>
  <c r="H53" i="51"/>
  <c r="F24" i="51"/>
  <c r="F25" i="51"/>
  <c r="F26" i="51"/>
  <c r="F27" i="51"/>
  <c r="F28" i="51"/>
  <c r="F29" i="51"/>
  <c r="F30" i="51"/>
  <c r="F31" i="51"/>
  <c r="F32" i="51"/>
  <c r="F33" i="51"/>
  <c r="F34" i="51"/>
  <c r="F35" i="51"/>
  <c r="F36" i="51"/>
  <c r="F37" i="51"/>
  <c r="F38" i="51"/>
  <c r="F39" i="51"/>
  <c r="F40" i="51"/>
  <c r="F41" i="51"/>
  <c r="F42" i="51"/>
  <c r="F43" i="51"/>
  <c r="F44" i="51"/>
  <c r="F45" i="51"/>
  <c r="F46" i="51"/>
  <c r="F47" i="51"/>
  <c r="F48" i="51"/>
  <c r="F49" i="51"/>
  <c r="F50" i="51"/>
  <c r="F51" i="51"/>
  <c r="F52" i="51"/>
  <c r="F53" i="51"/>
  <c r="A24" i="51"/>
  <c r="D24" i="51" s="1"/>
  <c r="J23" i="51"/>
  <c r="M23" i="51" s="1"/>
  <c r="N23" i="51" s="1"/>
  <c r="O23" i="51" s="1"/>
  <c r="F23" i="51"/>
  <c r="H23" i="51"/>
  <c r="B24" i="51"/>
  <c r="B25" i="51" s="1"/>
  <c r="B26" i="51" s="1"/>
  <c r="B27" i="51" s="1"/>
  <c r="B28" i="51" s="1"/>
  <c r="B29" i="51" s="1"/>
  <c r="B30" i="51" s="1"/>
  <c r="B31" i="51" s="1"/>
  <c r="B32" i="51" s="1"/>
  <c r="B33" i="51" s="1"/>
  <c r="B34" i="51" s="1"/>
  <c r="B35" i="51" s="1"/>
  <c r="B36" i="51" s="1"/>
  <c r="B37" i="51" s="1"/>
  <c r="B38" i="51" s="1"/>
  <c r="B39" i="51" s="1"/>
  <c r="B40" i="51" s="1"/>
  <c r="B41" i="51" s="1"/>
  <c r="B42" i="51" s="1"/>
  <c r="B43" i="51" s="1"/>
  <c r="B44" i="51" s="1"/>
  <c r="B45" i="51" s="1"/>
  <c r="B46" i="51" s="1"/>
  <c r="B47" i="51" s="1"/>
  <c r="B48" i="51" s="1"/>
  <c r="B49" i="51" s="1"/>
  <c r="B50" i="51" s="1"/>
  <c r="B51" i="51" s="1"/>
  <c r="B52" i="51" s="1"/>
  <c r="B53" i="51" s="1"/>
  <c r="AA24" i="51" l="1"/>
  <c r="AB24" i="51" s="1"/>
  <c r="AA23" i="51"/>
  <c r="AB23" i="51" s="1"/>
  <c r="T27" i="51"/>
  <c r="S25" i="51"/>
  <c r="S26" i="51" s="1"/>
  <c r="S27" i="51" s="1"/>
  <c r="D25" i="51"/>
  <c r="A25" i="5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 s="1"/>
  <c r="A53" i="51" s="1"/>
  <c r="AA26" i="51" l="1"/>
  <c r="AA25" i="51"/>
  <c r="AB25" i="51" s="1"/>
  <c r="T28" i="51"/>
  <c r="AA27" i="51"/>
  <c r="D26" i="51"/>
  <c r="T29" i="51" l="1"/>
  <c r="S28" i="51"/>
  <c r="D27" i="51"/>
  <c r="S29" i="51" l="1"/>
  <c r="AA28" i="51"/>
  <c r="T30" i="51"/>
  <c r="D28" i="51"/>
  <c r="T31" i="51" l="1"/>
  <c r="S30" i="51"/>
  <c r="AA29" i="51"/>
  <c r="D29" i="51"/>
  <c r="S31" i="51" l="1"/>
  <c r="AA30" i="51"/>
  <c r="T32" i="51"/>
  <c r="D30" i="51"/>
  <c r="T33" i="51" l="1"/>
  <c r="S32" i="51"/>
  <c r="AA31" i="51"/>
  <c r="D31" i="51"/>
  <c r="T34" i="51" l="1"/>
  <c r="S33" i="51"/>
  <c r="AA32" i="51"/>
  <c r="D32" i="51"/>
  <c r="T35" i="51" l="1"/>
  <c r="S34" i="51"/>
  <c r="AA33" i="51"/>
  <c r="D33" i="51"/>
  <c r="S35" i="51" l="1"/>
  <c r="AA34" i="51"/>
  <c r="T36" i="51"/>
  <c r="D34" i="51"/>
  <c r="T37" i="51" l="1"/>
  <c r="S36" i="51"/>
  <c r="AA35" i="51"/>
  <c r="D35" i="51"/>
  <c r="S37" i="51" l="1"/>
  <c r="AA36" i="51"/>
  <c r="T38" i="51"/>
  <c r="D36" i="51"/>
  <c r="T39" i="51" l="1"/>
  <c r="S38" i="51"/>
  <c r="AA37" i="51"/>
  <c r="D37" i="51"/>
  <c r="T40" i="51" l="1"/>
  <c r="S39" i="51"/>
  <c r="AA38" i="51"/>
  <c r="D38" i="51"/>
  <c r="T41" i="51" l="1"/>
  <c r="S40" i="51"/>
  <c r="AA39" i="51"/>
  <c r="D39" i="51"/>
  <c r="S41" i="51" l="1"/>
  <c r="AA40" i="51"/>
  <c r="T42" i="51"/>
  <c r="D40" i="51"/>
  <c r="T43" i="51" l="1"/>
  <c r="S42" i="51"/>
  <c r="AA41" i="51"/>
  <c r="D41" i="51"/>
  <c r="S43" i="51" l="1"/>
  <c r="AA42" i="51"/>
  <c r="T44" i="51"/>
  <c r="D42" i="51"/>
  <c r="T45" i="51" l="1"/>
  <c r="S44" i="51"/>
  <c r="AA43" i="51"/>
  <c r="D43" i="51"/>
  <c r="S45" i="51" l="1"/>
  <c r="AA44" i="51"/>
  <c r="T46" i="51"/>
  <c r="D44" i="51"/>
  <c r="T47" i="51" l="1"/>
  <c r="S46" i="51"/>
  <c r="AA45" i="51"/>
  <c r="D45" i="51"/>
  <c r="S47" i="51" l="1"/>
  <c r="AA46" i="51"/>
  <c r="T48" i="51"/>
  <c r="D46" i="51"/>
  <c r="T49" i="51" l="1"/>
  <c r="S48" i="51"/>
  <c r="AA47" i="51"/>
  <c r="D47" i="51"/>
  <c r="S49" i="51" l="1"/>
  <c r="AA48" i="51"/>
  <c r="T50" i="51"/>
  <c r="D48" i="51"/>
  <c r="T51" i="51" l="1"/>
  <c r="S50" i="51"/>
  <c r="AA49" i="51"/>
  <c r="D49" i="51"/>
  <c r="S51" i="51" l="1"/>
  <c r="AA50" i="51"/>
  <c r="T52" i="51"/>
  <c r="D50" i="51"/>
  <c r="T53" i="51" l="1"/>
  <c r="S52" i="51"/>
  <c r="AA51" i="51"/>
  <c r="D51" i="51"/>
  <c r="S53" i="51" l="1"/>
  <c r="AA53" i="51" s="1"/>
  <c r="AA52" i="51"/>
  <c r="D52" i="51"/>
  <c r="D53" i="51" l="1"/>
  <c r="G13" i="48" l="1"/>
  <c r="E66" i="28" l="1"/>
  <c r="E71" i="28" s="1"/>
  <c r="F16" i="28"/>
  <c r="G16" i="28" s="1"/>
  <c r="H16" i="28" s="1"/>
  <c r="I16" i="28" s="1"/>
  <c r="J16" i="28" s="1"/>
  <c r="K16" i="28" s="1"/>
  <c r="L16" i="28" s="1"/>
  <c r="M16" i="28" s="1"/>
  <c r="F15" i="28"/>
  <c r="H58" i="28"/>
  <c r="N16" i="28" l="1"/>
  <c r="M42" i="28"/>
  <c r="E75" i="28"/>
  <c r="E79" i="28"/>
  <c r="E78" i="28"/>
  <c r="E77" i="28"/>
  <c r="E68" i="28"/>
  <c r="E76" i="28"/>
  <c r="E70" i="28"/>
  <c r="E72" i="28"/>
  <c r="E69" i="28"/>
  <c r="F66" i="28"/>
  <c r="F71" i="28" s="1"/>
  <c r="G15" i="28"/>
  <c r="G41" i="28" s="1"/>
  <c r="O16" i="28" l="1"/>
  <c r="N42" i="28"/>
  <c r="E81" i="28"/>
  <c r="F78" i="28"/>
  <c r="F76" i="28"/>
  <c r="F75" i="28"/>
  <c r="F77" i="28"/>
  <c r="F79" i="28"/>
  <c r="F72" i="28"/>
  <c r="F70" i="28"/>
  <c r="F68" i="28"/>
  <c r="F69" i="28"/>
  <c r="H15" i="28"/>
  <c r="H41" i="28" s="1"/>
  <c r="P16" i="28" l="1"/>
  <c r="P42" i="28" s="1"/>
  <c r="O42" i="28"/>
  <c r="F81" i="28"/>
  <c r="I15" i="28"/>
  <c r="I41" i="28" s="1"/>
  <c r="J42" i="29"/>
  <c r="J35" i="29"/>
  <c r="J32" i="56" s="1"/>
  <c r="J34" i="43"/>
  <c r="J41" i="43"/>
  <c r="J15" i="28" l="1"/>
  <c r="J41" i="28" s="1"/>
  <c r="G18" i="50"/>
  <c r="G16" i="50"/>
  <c r="G14" i="50"/>
  <c r="B79" i="50"/>
  <c r="B77" i="50"/>
  <c r="B76" i="50"/>
  <c r="B75" i="50"/>
  <c r="AK40" i="50"/>
  <c r="AJ40" i="50"/>
  <c r="AI40" i="50"/>
  <c r="AH40" i="50"/>
  <c r="AG40" i="50"/>
  <c r="AF40" i="50"/>
  <c r="AE40" i="50"/>
  <c r="AD40" i="50"/>
  <c r="AC40" i="50"/>
  <c r="AB40" i="50"/>
  <c r="AA40" i="50"/>
  <c r="Z40" i="50"/>
  <c r="Y40" i="50"/>
  <c r="X40" i="50"/>
  <c r="W40" i="50"/>
  <c r="V40" i="50"/>
  <c r="U40" i="50"/>
  <c r="T40" i="50"/>
  <c r="S40" i="50"/>
  <c r="R40" i="50"/>
  <c r="Q40" i="50"/>
  <c r="P40" i="50"/>
  <c r="O40" i="50"/>
  <c r="N40" i="50"/>
  <c r="M40" i="50"/>
  <c r="L40" i="50"/>
  <c r="K40" i="50"/>
  <c r="J40" i="50"/>
  <c r="I40" i="50"/>
  <c r="H40" i="50"/>
  <c r="H39" i="50"/>
  <c r="H70" i="50" s="1"/>
  <c r="G33" i="50"/>
  <c r="M23" i="50"/>
  <c r="U15" i="50"/>
  <c r="M14" i="50"/>
  <c r="M13" i="50"/>
  <c r="U11" i="50"/>
  <c r="H19" i="51" l="1"/>
  <c r="K15" i="28"/>
  <c r="K41" i="28" s="1"/>
  <c r="G36" i="50"/>
  <c r="G35" i="50"/>
  <c r="H33" i="50"/>
  <c r="H59" i="50"/>
  <c r="I39" i="50"/>
  <c r="L15" i="28" l="1"/>
  <c r="L41" i="28" s="1"/>
  <c r="G37" i="50"/>
  <c r="H36" i="50"/>
  <c r="I33" i="50"/>
  <c r="H35" i="50"/>
  <c r="I59" i="50"/>
  <c r="J39" i="50"/>
  <c r="I70" i="50"/>
  <c r="M15" i="28" l="1"/>
  <c r="J33" i="50"/>
  <c r="I35" i="50"/>
  <c r="I36" i="50"/>
  <c r="H37" i="50"/>
  <c r="J59" i="50"/>
  <c r="K39" i="50"/>
  <c r="J70" i="50"/>
  <c r="M41" i="28" l="1"/>
  <c r="X19" i="51"/>
  <c r="N15" i="28"/>
  <c r="K33" i="50"/>
  <c r="J35" i="50"/>
  <c r="J36" i="50"/>
  <c r="I37" i="50"/>
  <c r="K70" i="50"/>
  <c r="K59" i="50"/>
  <c r="L39" i="50"/>
  <c r="N41" i="28" l="1"/>
  <c r="J37" i="50"/>
  <c r="O15" i="28"/>
  <c r="L33" i="50"/>
  <c r="K35" i="50"/>
  <c r="K36" i="50"/>
  <c r="L70" i="50"/>
  <c r="L59" i="50"/>
  <c r="M39" i="50"/>
  <c r="O41" i="28" l="1"/>
  <c r="K37" i="50"/>
  <c r="P15" i="28"/>
  <c r="M70" i="50"/>
  <c r="N39" i="50"/>
  <c r="M59" i="50"/>
  <c r="L35" i="50"/>
  <c r="L36" i="50"/>
  <c r="M33" i="50"/>
  <c r="P41" i="28" l="1"/>
  <c r="M36" i="50"/>
  <c r="N33" i="50"/>
  <c r="M35" i="50"/>
  <c r="L37" i="50"/>
  <c r="N70" i="50"/>
  <c r="N59" i="50"/>
  <c r="O39" i="50"/>
  <c r="N36" i="50" l="1"/>
  <c r="O33" i="50"/>
  <c r="N35" i="50"/>
  <c r="O70" i="50"/>
  <c r="O59" i="50"/>
  <c r="P39" i="50"/>
  <c r="M37" i="50"/>
  <c r="O35" i="50" l="1"/>
  <c r="O36" i="50"/>
  <c r="O37" i="50" s="1"/>
  <c r="P33" i="50"/>
  <c r="P59" i="50"/>
  <c r="P70" i="50"/>
  <c r="Q39" i="50"/>
  <c r="N37" i="50"/>
  <c r="R39" i="50" l="1"/>
  <c r="P36" i="50"/>
  <c r="Q33" i="50"/>
  <c r="P35" i="50"/>
  <c r="P37" i="50" l="1"/>
  <c r="R59" i="50"/>
  <c r="R86" i="50"/>
  <c r="R61" i="50"/>
  <c r="S39" i="50"/>
  <c r="R70" i="50"/>
  <c r="R71" i="50"/>
  <c r="R85" i="50"/>
  <c r="Q35" i="50"/>
  <c r="R33" i="50"/>
  <c r="Q36" i="50"/>
  <c r="S86" i="50" l="1"/>
  <c r="S61" i="50"/>
  <c r="S70" i="50"/>
  <c r="S59" i="50"/>
  <c r="T39" i="50"/>
  <c r="S71" i="50"/>
  <c r="S85" i="50"/>
  <c r="R73" i="50"/>
  <c r="Q37" i="50"/>
  <c r="R35" i="50"/>
  <c r="H45" i="50" s="1"/>
  <c r="R36" i="50"/>
  <c r="H46" i="50" s="1"/>
  <c r="T70" i="50" l="1"/>
  <c r="U39" i="50"/>
  <c r="T86" i="50"/>
  <c r="T71" i="50"/>
  <c r="T85" i="50"/>
  <c r="T61" i="50"/>
  <c r="T59" i="50"/>
  <c r="S73" i="50"/>
  <c r="R37" i="50"/>
  <c r="T73" i="50" l="1"/>
  <c r="H51" i="50"/>
  <c r="U70" i="50"/>
  <c r="U85" i="50"/>
  <c r="U71" i="50"/>
  <c r="U86" i="50"/>
  <c r="U61" i="50"/>
  <c r="U59" i="50"/>
  <c r="V39" i="50"/>
  <c r="U73" i="50" l="1"/>
  <c r="V70" i="50"/>
  <c r="V85" i="50"/>
  <c r="V71" i="50"/>
  <c r="V59" i="50"/>
  <c r="W39" i="50"/>
  <c r="V61" i="50"/>
  <c r="V86" i="50"/>
  <c r="W70" i="50" l="1"/>
  <c r="W85" i="50"/>
  <c r="W71" i="50"/>
  <c r="W59" i="50"/>
  <c r="W86" i="50"/>
  <c r="W61" i="50"/>
  <c r="X39" i="50"/>
  <c r="V73" i="50"/>
  <c r="X85" i="50" l="1"/>
  <c r="X71" i="50"/>
  <c r="X59" i="50"/>
  <c r="X86" i="50"/>
  <c r="X61" i="50"/>
  <c r="X70" i="50"/>
  <c r="Y39" i="50"/>
  <c r="W73" i="50"/>
  <c r="Y85" i="50" l="1"/>
  <c r="Y71" i="50"/>
  <c r="Y59" i="50"/>
  <c r="Z39" i="50"/>
  <c r="Y86" i="50"/>
  <c r="Y61" i="50"/>
  <c r="Y70" i="50"/>
  <c r="X73" i="50"/>
  <c r="Z59" i="50" l="1"/>
  <c r="Z86" i="50"/>
  <c r="Z61" i="50"/>
  <c r="Z71" i="50"/>
  <c r="Z85" i="50"/>
  <c r="Z70" i="50"/>
  <c r="AA39" i="50"/>
  <c r="Y73" i="50"/>
  <c r="AA86" i="50" l="1"/>
  <c r="AA61" i="50"/>
  <c r="AA70" i="50"/>
  <c r="AA71" i="50"/>
  <c r="AA85" i="50"/>
  <c r="AB39" i="50"/>
  <c r="AA59" i="50"/>
  <c r="Z73" i="50"/>
  <c r="AA73" i="50" l="1"/>
  <c r="AB70" i="50"/>
  <c r="AB85" i="50"/>
  <c r="AB61" i="50"/>
  <c r="AC39" i="50"/>
  <c r="AB86" i="50"/>
  <c r="AB59" i="50"/>
  <c r="AB71" i="50"/>
  <c r="AC70" i="50" l="1"/>
  <c r="AC85" i="50"/>
  <c r="AC71" i="50"/>
  <c r="AC61" i="50"/>
  <c r="AD39" i="50"/>
  <c r="AC86" i="50"/>
  <c r="AC59" i="50"/>
  <c r="AB73" i="50"/>
  <c r="AC73" i="50" l="1"/>
  <c r="AD70" i="50"/>
  <c r="AD85" i="50"/>
  <c r="AD71" i="50"/>
  <c r="AD59" i="50"/>
  <c r="AE39" i="50"/>
  <c r="AD86" i="50"/>
  <c r="AD61" i="50"/>
  <c r="AD73" i="50" l="1"/>
  <c r="AE70" i="50"/>
  <c r="AE85" i="50"/>
  <c r="AE71" i="50"/>
  <c r="AE59" i="50"/>
  <c r="AE86" i="50"/>
  <c r="AE61" i="50"/>
  <c r="AF39" i="50"/>
  <c r="AF85" i="50" l="1"/>
  <c r="AF71" i="50"/>
  <c r="AF59" i="50"/>
  <c r="AF86" i="50"/>
  <c r="AF61" i="50"/>
  <c r="AF70" i="50"/>
  <c r="AG39" i="50"/>
  <c r="AE73" i="50"/>
  <c r="AG85" i="50" l="1"/>
  <c r="AG71" i="50"/>
  <c r="AG59" i="50"/>
  <c r="AH39" i="50"/>
  <c r="AG86" i="50"/>
  <c r="AG61" i="50"/>
  <c r="AG70" i="50"/>
  <c r="AF73" i="50"/>
  <c r="AG73" i="50" l="1"/>
  <c r="AH59" i="50"/>
  <c r="AH86" i="50"/>
  <c r="AH61" i="50"/>
  <c r="AH70" i="50"/>
  <c r="AH71" i="50"/>
  <c r="AH85" i="50"/>
  <c r="AI39" i="50"/>
  <c r="AI86" i="50" l="1"/>
  <c r="AI61" i="50"/>
  <c r="AI70" i="50"/>
  <c r="AI59" i="50"/>
  <c r="AI85" i="50"/>
  <c r="AJ39" i="50"/>
  <c r="AI71" i="50"/>
  <c r="AH73" i="50"/>
  <c r="AJ70" i="50" l="1"/>
  <c r="AJ59" i="50"/>
  <c r="AJ85" i="50"/>
  <c r="AJ86" i="50"/>
  <c r="AJ61" i="50"/>
  <c r="AJ71" i="50"/>
  <c r="AK39" i="50"/>
  <c r="AI73" i="50"/>
  <c r="AJ73" i="50" l="1"/>
  <c r="AK70" i="50"/>
  <c r="AK85" i="50"/>
  <c r="AK71" i="50"/>
  <c r="AK59" i="50"/>
  <c r="AK86" i="50"/>
  <c r="AK61" i="50"/>
  <c r="AK73" i="50" l="1"/>
  <c r="U11" i="49" l="1"/>
  <c r="U15" i="49"/>
  <c r="M23" i="49"/>
  <c r="M13" i="49"/>
  <c r="T16" i="56" s="1"/>
  <c r="M14" i="49"/>
  <c r="T17" i="56" s="1"/>
  <c r="G18" i="49"/>
  <c r="G14" i="49"/>
  <c r="G16" i="49"/>
  <c r="D28" i="37"/>
  <c r="H28" i="37" s="1"/>
  <c r="B79" i="49"/>
  <c r="B77" i="49"/>
  <c r="B76" i="49"/>
  <c r="B75" i="49"/>
  <c r="AK40" i="49"/>
  <c r="AJ40" i="49"/>
  <c r="AI40" i="49"/>
  <c r="AH40" i="49"/>
  <c r="AG40" i="49"/>
  <c r="AF40" i="49"/>
  <c r="AE40" i="49"/>
  <c r="AD40" i="49"/>
  <c r="AC40" i="49"/>
  <c r="AB40" i="49"/>
  <c r="AA40" i="49"/>
  <c r="Z40" i="49"/>
  <c r="Y40" i="49"/>
  <c r="X40" i="49"/>
  <c r="W40" i="49"/>
  <c r="V40" i="49"/>
  <c r="U40" i="49"/>
  <c r="T40" i="49"/>
  <c r="S40" i="49"/>
  <c r="R40" i="49"/>
  <c r="Q40" i="49"/>
  <c r="P40" i="49"/>
  <c r="O40" i="49"/>
  <c r="N40" i="49"/>
  <c r="M40" i="49"/>
  <c r="L40" i="49"/>
  <c r="K40" i="49"/>
  <c r="J40" i="49"/>
  <c r="I40" i="49"/>
  <c r="H40" i="49"/>
  <c r="H39" i="49"/>
  <c r="H70" i="49" s="1"/>
  <c r="G33" i="49"/>
  <c r="B34" i="35"/>
  <c r="D51" i="37" l="1"/>
  <c r="H51" i="37" s="1"/>
  <c r="G36" i="49"/>
  <c r="H33" i="49"/>
  <c r="G35" i="49"/>
  <c r="I39" i="49"/>
  <c r="H59" i="49"/>
  <c r="G37" i="49" l="1"/>
  <c r="H36" i="49"/>
  <c r="I33" i="49"/>
  <c r="H35" i="49"/>
  <c r="I59" i="49"/>
  <c r="J39" i="49"/>
  <c r="I70" i="49"/>
  <c r="D52" i="37"/>
  <c r="H52" i="37" s="1"/>
  <c r="D53" i="37"/>
  <c r="H53" i="37" s="1"/>
  <c r="D54" i="37"/>
  <c r="H54" i="37" s="1"/>
  <c r="D50" i="37"/>
  <c r="H50" i="37" s="1"/>
  <c r="AK89" i="48"/>
  <c r="AJ89" i="48"/>
  <c r="AI89" i="48"/>
  <c r="AH89" i="48"/>
  <c r="AG89" i="48"/>
  <c r="AF89" i="48"/>
  <c r="AE89" i="48"/>
  <c r="AD89" i="48"/>
  <c r="AC89" i="48"/>
  <c r="AB89" i="48"/>
  <c r="AA89" i="48"/>
  <c r="Z89" i="48"/>
  <c r="Y89" i="48"/>
  <c r="X89" i="48"/>
  <c r="W89" i="48"/>
  <c r="V89" i="48"/>
  <c r="U89" i="48"/>
  <c r="T89" i="48"/>
  <c r="S89" i="48"/>
  <c r="R89" i="48"/>
  <c r="Q89" i="48"/>
  <c r="P89" i="48"/>
  <c r="O89" i="48"/>
  <c r="N89" i="48"/>
  <c r="M89" i="48"/>
  <c r="L89" i="48"/>
  <c r="K89" i="48"/>
  <c r="J89" i="48"/>
  <c r="I89" i="48"/>
  <c r="H89" i="48"/>
  <c r="C52" i="48"/>
  <c r="C50" i="48"/>
  <c r="C49" i="48"/>
  <c r="C48" i="48"/>
  <c r="AK38" i="48"/>
  <c r="AJ38" i="48"/>
  <c r="AI38" i="48"/>
  <c r="AH38" i="48"/>
  <c r="AG38" i="48"/>
  <c r="AF38" i="48"/>
  <c r="AE38" i="48"/>
  <c r="AD38" i="48"/>
  <c r="AC38" i="48"/>
  <c r="AB38" i="48"/>
  <c r="AA38" i="48"/>
  <c r="Z38" i="48"/>
  <c r="Y38" i="48"/>
  <c r="X38" i="48"/>
  <c r="W38" i="48"/>
  <c r="V38" i="48"/>
  <c r="U38" i="48"/>
  <c r="T38" i="48"/>
  <c r="S38" i="48"/>
  <c r="R38" i="48"/>
  <c r="Q38" i="48"/>
  <c r="P38" i="48"/>
  <c r="O38" i="48"/>
  <c r="N38" i="48"/>
  <c r="M38" i="48"/>
  <c r="L38" i="48"/>
  <c r="K38" i="48"/>
  <c r="J38" i="48"/>
  <c r="I38" i="48"/>
  <c r="H38" i="48"/>
  <c r="H37" i="48"/>
  <c r="H85" i="48" s="1"/>
  <c r="AK42" i="47"/>
  <c r="AJ42" i="47"/>
  <c r="AI42" i="47"/>
  <c r="AH42" i="47"/>
  <c r="AG42" i="47"/>
  <c r="AF42" i="47"/>
  <c r="AE42" i="47"/>
  <c r="AD42" i="47"/>
  <c r="AC42" i="47"/>
  <c r="AB42" i="47"/>
  <c r="AA42" i="47"/>
  <c r="Z42" i="47"/>
  <c r="Y42" i="47"/>
  <c r="X42" i="47"/>
  <c r="W42" i="47"/>
  <c r="V42" i="47"/>
  <c r="U42" i="47"/>
  <c r="T42" i="47"/>
  <c r="S42" i="47"/>
  <c r="R42" i="47"/>
  <c r="Q42" i="47"/>
  <c r="P42" i="47"/>
  <c r="O42" i="47"/>
  <c r="N42" i="47"/>
  <c r="M42" i="47"/>
  <c r="L42" i="47"/>
  <c r="K42" i="47"/>
  <c r="J42" i="47"/>
  <c r="I42" i="47"/>
  <c r="H42" i="47"/>
  <c r="H41" i="47"/>
  <c r="H43" i="47" s="1"/>
  <c r="H35" i="47"/>
  <c r="I41" i="47" s="1"/>
  <c r="I43" i="47" s="1"/>
  <c r="AK87" i="46"/>
  <c r="AJ87" i="46"/>
  <c r="AI87" i="46"/>
  <c r="AH87" i="46"/>
  <c r="AG87" i="46"/>
  <c r="AF87" i="46"/>
  <c r="AE87" i="46"/>
  <c r="AD87" i="46"/>
  <c r="AC87" i="46"/>
  <c r="AB87" i="46"/>
  <c r="AA87" i="46"/>
  <c r="Z87" i="46"/>
  <c r="Y87" i="46"/>
  <c r="X87" i="46"/>
  <c r="W87" i="46"/>
  <c r="V87" i="46"/>
  <c r="U87" i="46"/>
  <c r="T87" i="46"/>
  <c r="S87" i="46"/>
  <c r="R87" i="46"/>
  <c r="Q87" i="46"/>
  <c r="P87" i="46"/>
  <c r="O87" i="46"/>
  <c r="N87" i="46"/>
  <c r="M87" i="46"/>
  <c r="L87" i="46"/>
  <c r="K87" i="46"/>
  <c r="J87" i="46"/>
  <c r="I87" i="46"/>
  <c r="H87" i="46"/>
  <c r="C50" i="46"/>
  <c r="C48" i="46"/>
  <c r="C47" i="46"/>
  <c r="C46" i="46"/>
  <c r="AK36" i="46"/>
  <c r="AJ36" i="46"/>
  <c r="AI36" i="46"/>
  <c r="AH36" i="46"/>
  <c r="AG36" i="46"/>
  <c r="AF36" i="46"/>
  <c r="AE36" i="46"/>
  <c r="AD36" i="46"/>
  <c r="AC36" i="46"/>
  <c r="AB36" i="46"/>
  <c r="AA36" i="46"/>
  <c r="Z36" i="46"/>
  <c r="Y36" i="46"/>
  <c r="X36" i="46"/>
  <c r="W36" i="46"/>
  <c r="V36" i="46"/>
  <c r="U36" i="46"/>
  <c r="T36" i="46"/>
  <c r="S36" i="46"/>
  <c r="R36" i="46"/>
  <c r="Q36" i="46"/>
  <c r="P36" i="46"/>
  <c r="O36" i="46"/>
  <c r="N36" i="46"/>
  <c r="M36" i="46"/>
  <c r="L36" i="46"/>
  <c r="K36" i="46"/>
  <c r="J36" i="46"/>
  <c r="I36" i="46"/>
  <c r="H36" i="46"/>
  <c r="H35" i="46"/>
  <c r="B80" i="45"/>
  <c r="B78" i="45"/>
  <c r="B77" i="45"/>
  <c r="B76" i="45"/>
  <c r="AK40" i="45"/>
  <c r="AJ40" i="45"/>
  <c r="AI40" i="45"/>
  <c r="AH40" i="45"/>
  <c r="AG40" i="45"/>
  <c r="AF40" i="45"/>
  <c r="AE40" i="45"/>
  <c r="AD40" i="45"/>
  <c r="AC40" i="45"/>
  <c r="AB40" i="45"/>
  <c r="AA40" i="45"/>
  <c r="Z40" i="45"/>
  <c r="Y40" i="45"/>
  <c r="X40" i="45"/>
  <c r="W40" i="45"/>
  <c r="V40" i="45"/>
  <c r="U40" i="45"/>
  <c r="T40" i="45"/>
  <c r="S40" i="45"/>
  <c r="R40" i="45"/>
  <c r="Q40" i="45"/>
  <c r="P40" i="45"/>
  <c r="O40" i="45"/>
  <c r="N40" i="45"/>
  <c r="M40" i="45"/>
  <c r="L40" i="45"/>
  <c r="K40" i="45"/>
  <c r="J40" i="45"/>
  <c r="I40" i="45"/>
  <c r="H40" i="45"/>
  <c r="H39" i="45"/>
  <c r="I39" i="45" s="1"/>
  <c r="I71" i="45" s="1"/>
  <c r="G32" i="45"/>
  <c r="G35" i="45" s="1"/>
  <c r="F68" i="44"/>
  <c r="F61" i="44"/>
  <c r="F58" i="44"/>
  <c r="B37" i="44"/>
  <c r="B36" i="44"/>
  <c r="B35" i="44"/>
  <c r="B33" i="44"/>
  <c r="F13" i="44"/>
  <c r="G12" i="44"/>
  <c r="H12" i="44" s="1"/>
  <c r="I12" i="44" s="1"/>
  <c r="J12" i="44" s="1"/>
  <c r="K12" i="44" s="1"/>
  <c r="L12" i="44" s="1"/>
  <c r="M12" i="44" s="1"/>
  <c r="N12" i="44" s="1"/>
  <c r="O12" i="44" s="1"/>
  <c r="P12" i="44" s="1"/>
  <c r="Q12" i="44" s="1"/>
  <c r="R12" i="44" s="1"/>
  <c r="S12" i="44" s="1"/>
  <c r="T12" i="44" s="1"/>
  <c r="U12" i="44" s="1"/>
  <c r="V12" i="44" s="1"/>
  <c r="W12" i="44" s="1"/>
  <c r="X12" i="44" s="1"/>
  <c r="Y12" i="44" s="1"/>
  <c r="Z12" i="44" s="1"/>
  <c r="AA12" i="44" s="1"/>
  <c r="AB12" i="44" s="1"/>
  <c r="AC12" i="44" s="1"/>
  <c r="AD12" i="44" s="1"/>
  <c r="AE12" i="44" s="1"/>
  <c r="AF12" i="44" s="1"/>
  <c r="AG12" i="44" s="1"/>
  <c r="AH12" i="44" s="1"/>
  <c r="AI12" i="44" s="1"/>
  <c r="AJ12" i="44" s="1"/>
  <c r="D23" i="43"/>
  <c r="D27" i="43" s="1"/>
  <c r="I35" i="47" l="1"/>
  <c r="J41" i="47" s="1"/>
  <c r="J43" i="47" s="1"/>
  <c r="M44" i="28"/>
  <c r="N44" i="28"/>
  <c r="O44" i="28"/>
  <c r="P44" i="28"/>
  <c r="I37" i="48"/>
  <c r="I63" i="48" s="1"/>
  <c r="I64" i="48" s="1"/>
  <c r="H74" i="48"/>
  <c r="H60" i="45"/>
  <c r="F27" i="44"/>
  <c r="F37" i="44"/>
  <c r="F26" i="44"/>
  <c r="F36" i="44"/>
  <c r="F25" i="44"/>
  <c r="F35" i="44"/>
  <c r="F34" i="44"/>
  <c r="F33" i="44"/>
  <c r="F29" i="44"/>
  <c r="F28" i="44"/>
  <c r="J35" i="47"/>
  <c r="K35" i="47" s="1"/>
  <c r="L41" i="47" s="1"/>
  <c r="L43" i="47" s="1"/>
  <c r="D25" i="43"/>
  <c r="J45" i="43" s="1"/>
  <c r="J46" i="43" s="1"/>
  <c r="G36" i="45"/>
  <c r="H32" i="45"/>
  <c r="H35" i="45" s="1"/>
  <c r="G34" i="45"/>
  <c r="J33" i="49"/>
  <c r="I35" i="49"/>
  <c r="I36" i="49"/>
  <c r="H37" i="49"/>
  <c r="J59" i="49"/>
  <c r="K39" i="49"/>
  <c r="J70" i="49"/>
  <c r="F42" i="44"/>
  <c r="F43" i="44" s="1"/>
  <c r="H36" i="45"/>
  <c r="F59" i="44"/>
  <c r="G13" i="44"/>
  <c r="F71" i="44"/>
  <c r="H71" i="45"/>
  <c r="I60" i="45"/>
  <c r="J39" i="45"/>
  <c r="K69" i="47"/>
  <c r="K70" i="47" s="1"/>
  <c r="L35" i="47"/>
  <c r="K80" i="47"/>
  <c r="H83" i="46"/>
  <c r="H72" i="46"/>
  <c r="H61" i="46"/>
  <c r="H62" i="46" s="1"/>
  <c r="I35" i="46"/>
  <c r="J80" i="47"/>
  <c r="J69" i="47"/>
  <c r="J70" i="47" s="1"/>
  <c r="K41" i="47"/>
  <c r="K43" i="47" s="1"/>
  <c r="I69" i="47"/>
  <c r="I70" i="47" s="1"/>
  <c r="I80" i="47"/>
  <c r="H80" i="47"/>
  <c r="H69" i="47"/>
  <c r="H70" i="47" s="1"/>
  <c r="I85" i="48"/>
  <c r="J37" i="48"/>
  <c r="H63" i="48"/>
  <c r="H64" i="48" s="1"/>
  <c r="S38" i="42"/>
  <c r="T38" i="42"/>
  <c r="U38" i="42"/>
  <c r="V38" i="42"/>
  <c r="W38" i="42"/>
  <c r="X38" i="42"/>
  <c r="Y38" i="42"/>
  <c r="Z38" i="42"/>
  <c r="AA38" i="42"/>
  <c r="AB38" i="42"/>
  <c r="AC38" i="42"/>
  <c r="AD38" i="42"/>
  <c r="AE38" i="42"/>
  <c r="AF38" i="42"/>
  <c r="AG38" i="42"/>
  <c r="AH38" i="42"/>
  <c r="AI38" i="42"/>
  <c r="AJ38" i="42"/>
  <c r="AK38" i="42"/>
  <c r="S89" i="42"/>
  <c r="T89" i="42"/>
  <c r="U89" i="42"/>
  <c r="V89" i="42"/>
  <c r="W89" i="42"/>
  <c r="X89" i="42"/>
  <c r="Y89" i="42"/>
  <c r="Z89" i="42"/>
  <c r="AA89" i="42"/>
  <c r="AB89" i="42"/>
  <c r="AC89" i="42"/>
  <c r="AD89" i="42"/>
  <c r="AE89" i="42"/>
  <c r="AF89" i="42"/>
  <c r="AG89" i="42"/>
  <c r="AH89" i="42"/>
  <c r="AI89" i="42"/>
  <c r="AJ89" i="42"/>
  <c r="AK89" i="42"/>
  <c r="S36" i="41"/>
  <c r="T36" i="41"/>
  <c r="U36" i="41"/>
  <c r="V36" i="41"/>
  <c r="W36" i="41"/>
  <c r="X36" i="41"/>
  <c r="Y36" i="41"/>
  <c r="Z36" i="41"/>
  <c r="AA36" i="41"/>
  <c r="AB36" i="41"/>
  <c r="AC36" i="41"/>
  <c r="AD36" i="41"/>
  <c r="AE36" i="41"/>
  <c r="AF36" i="41"/>
  <c r="AG36" i="41"/>
  <c r="AH36" i="41"/>
  <c r="AI36" i="41"/>
  <c r="AJ36" i="41"/>
  <c r="AK36" i="41"/>
  <c r="S36" i="40"/>
  <c r="T36" i="40"/>
  <c r="U36" i="40"/>
  <c r="V36" i="40"/>
  <c r="W36" i="40"/>
  <c r="X36" i="40"/>
  <c r="Y36" i="40"/>
  <c r="Z36" i="40"/>
  <c r="AA36" i="40"/>
  <c r="AB36" i="40"/>
  <c r="AC36" i="40"/>
  <c r="AD36" i="40"/>
  <c r="AE36" i="40"/>
  <c r="AF36" i="40"/>
  <c r="AG36" i="40"/>
  <c r="AH36" i="40"/>
  <c r="AI36" i="40"/>
  <c r="AJ36" i="40"/>
  <c r="AK36" i="40"/>
  <c r="S87" i="40"/>
  <c r="T87" i="40"/>
  <c r="U87" i="40"/>
  <c r="V87" i="40"/>
  <c r="W87" i="40"/>
  <c r="X87" i="40"/>
  <c r="Y87" i="40"/>
  <c r="Z87" i="40"/>
  <c r="AA87" i="40"/>
  <c r="AB87" i="40"/>
  <c r="AC87" i="40"/>
  <c r="AD87" i="40"/>
  <c r="AE87" i="40"/>
  <c r="AF87" i="40"/>
  <c r="AG87" i="40"/>
  <c r="AH87" i="40"/>
  <c r="AI87" i="40"/>
  <c r="AJ87" i="40"/>
  <c r="AK87" i="40"/>
  <c r="S40" i="39"/>
  <c r="T40" i="39"/>
  <c r="U40" i="39"/>
  <c r="V40" i="39"/>
  <c r="W40" i="39"/>
  <c r="X40" i="39"/>
  <c r="Y40" i="39"/>
  <c r="Z40" i="39"/>
  <c r="AA40" i="39"/>
  <c r="AB40" i="39"/>
  <c r="AC40" i="39"/>
  <c r="AD40" i="39"/>
  <c r="AE40" i="39"/>
  <c r="AF40" i="39"/>
  <c r="AG40" i="39"/>
  <c r="AH40" i="39"/>
  <c r="AI40" i="39"/>
  <c r="AJ40" i="39"/>
  <c r="AK40" i="39"/>
  <c r="F13" i="35"/>
  <c r="D23" i="29"/>
  <c r="R97" i="31"/>
  <c r="Q97" i="31"/>
  <c r="P97" i="31"/>
  <c r="R96" i="31"/>
  <c r="Q96" i="31"/>
  <c r="P96" i="31"/>
  <c r="N97" i="31"/>
  <c r="D13" i="43" s="1"/>
  <c r="D15" i="43" s="1"/>
  <c r="N96" i="31"/>
  <c r="E13" i="56" s="1"/>
  <c r="D24" i="29" l="1"/>
  <c r="H34" i="45"/>
  <c r="F70" i="44"/>
  <c r="I74" i="48"/>
  <c r="G37" i="45"/>
  <c r="I32" i="45"/>
  <c r="J32" i="45" s="1"/>
  <c r="G28" i="44"/>
  <c r="G33" i="44"/>
  <c r="G27" i="44"/>
  <c r="G29" i="44"/>
  <c r="G26" i="44"/>
  <c r="G37" i="44"/>
  <c r="G25" i="44"/>
  <c r="G36" i="44"/>
  <c r="G35" i="44"/>
  <c r="G34" i="44"/>
  <c r="F69" i="44"/>
  <c r="F62" i="44"/>
  <c r="F28" i="35"/>
  <c r="F29" i="35"/>
  <c r="F27" i="35"/>
  <c r="F37" i="35"/>
  <c r="F26" i="35"/>
  <c r="F36" i="35"/>
  <c r="F35" i="35"/>
  <c r="F34" i="35"/>
  <c r="F33" i="35"/>
  <c r="F25" i="35"/>
  <c r="E53" i="28"/>
  <c r="F53" i="28"/>
  <c r="G53" i="28"/>
  <c r="H53" i="28"/>
  <c r="I53" i="28"/>
  <c r="K53" i="28"/>
  <c r="M53" i="28"/>
  <c r="N53" i="28"/>
  <c r="O53" i="28"/>
  <c r="F44" i="44"/>
  <c r="G72" i="44"/>
  <c r="F72" i="44"/>
  <c r="F73" i="44" s="1"/>
  <c r="G68" i="44" s="1"/>
  <c r="G71" i="44" s="1"/>
  <c r="F38" i="44"/>
  <c r="G44" i="44"/>
  <c r="F30" i="44"/>
  <c r="F40" i="44"/>
  <c r="K70" i="49"/>
  <c r="K59" i="49"/>
  <c r="L39" i="49"/>
  <c r="K33" i="49"/>
  <c r="J35" i="49"/>
  <c r="J36" i="49"/>
  <c r="I37" i="49"/>
  <c r="D13" i="29"/>
  <c r="D15" i="29" s="1"/>
  <c r="H11" i="37"/>
  <c r="I61" i="46"/>
  <c r="I62" i="46" s="1"/>
  <c r="I72" i="46"/>
  <c r="I83" i="46"/>
  <c r="J35" i="46"/>
  <c r="I35" i="45"/>
  <c r="H37" i="45"/>
  <c r="J60" i="45"/>
  <c r="J71" i="45"/>
  <c r="K39" i="45"/>
  <c r="J85" i="48"/>
  <c r="J74" i="48"/>
  <c r="K37" i="48"/>
  <c r="J63" i="48"/>
  <c r="J64" i="48" s="1"/>
  <c r="G70" i="44"/>
  <c r="G69" i="44"/>
  <c r="H13" i="44"/>
  <c r="H72" i="44" s="1"/>
  <c r="G59" i="44"/>
  <c r="G62" i="44"/>
  <c r="G42" i="44"/>
  <c r="G43" i="44" s="1"/>
  <c r="G18" i="44"/>
  <c r="L80" i="47"/>
  <c r="L69" i="47"/>
  <c r="L70" i="47" s="1"/>
  <c r="M41" i="47"/>
  <c r="M43" i="47" s="1"/>
  <c r="M35" i="47"/>
  <c r="F70" i="35"/>
  <c r="F42" i="35"/>
  <c r="F60" i="35"/>
  <c r="F63" i="35"/>
  <c r="G13" i="35"/>
  <c r="D26" i="29" l="1"/>
  <c r="D28" i="29" s="1"/>
  <c r="J46" i="29" s="1"/>
  <c r="G38" i="44"/>
  <c r="G30" i="44"/>
  <c r="I34" i="45"/>
  <c r="I36" i="45"/>
  <c r="G40" i="44"/>
  <c r="H29" i="44"/>
  <c r="H28" i="44"/>
  <c r="H27" i="44"/>
  <c r="H26" i="44"/>
  <c r="H37" i="44"/>
  <c r="H25" i="44"/>
  <c r="H36" i="44"/>
  <c r="H33" i="44"/>
  <c r="H35" i="44"/>
  <c r="H34" i="44"/>
  <c r="F30" i="35"/>
  <c r="G27" i="35"/>
  <c r="G29" i="35"/>
  <c r="G25" i="35"/>
  <c r="G28" i="35"/>
  <c r="G34" i="35"/>
  <c r="G36" i="35"/>
  <c r="G35" i="35"/>
  <c r="G37" i="35"/>
  <c r="G26" i="35"/>
  <c r="G33" i="35"/>
  <c r="F38" i="35"/>
  <c r="F43" i="35"/>
  <c r="E52" i="28"/>
  <c r="H44" i="44"/>
  <c r="L70" i="49"/>
  <c r="L59" i="49"/>
  <c r="M39" i="49"/>
  <c r="J37" i="49"/>
  <c r="L33" i="49"/>
  <c r="K35" i="49"/>
  <c r="K36" i="49"/>
  <c r="D45" i="37"/>
  <c r="D46" i="37"/>
  <c r="X33" i="37" s="1"/>
  <c r="G73" i="44"/>
  <c r="H68" i="44" s="1"/>
  <c r="H71" i="44" s="1"/>
  <c r="K60" i="45"/>
  <c r="K71" i="45"/>
  <c r="L39" i="45"/>
  <c r="H69" i="44"/>
  <c r="H42" i="44"/>
  <c r="H43" i="44" s="1"/>
  <c r="H70" i="44"/>
  <c r="H62" i="44"/>
  <c r="I13" i="44"/>
  <c r="H18" i="44"/>
  <c r="K85" i="48"/>
  <c r="K74" i="48"/>
  <c r="K63" i="48"/>
  <c r="K64" i="48" s="1"/>
  <c r="L37" i="48"/>
  <c r="J36" i="45"/>
  <c r="J34" i="45"/>
  <c r="K32" i="45"/>
  <c r="J35" i="45"/>
  <c r="I37" i="45"/>
  <c r="J72" i="46"/>
  <c r="K35" i="46"/>
  <c r="J83" i="46"/>
  <c r="J61" i="46"/>
  <c r="J62" i="46" s="1"/>
  <c r="M69" i="47"/>
  <c r="M70" i="47" s="1"/>
  <c r="M80" i="47"/>
  <c r="N41" i="47"/>
  <c r="N43" i="47" s="1"/>
  <c r="N35" i="47"/>
  <c r="G63" i="35"/>
  <c r="G70" i="35"/>
  <c r="G42" i="35"/>
  <c r="H13" i="35"/>
  <c r="G60" i="35"/>
  <c r="J47" i="29" l="1"/>
  <c r="F44" i="35"/>
  <c r="F71" i="35"/>
  <c r="G44" i="35"/>
  <c r="E26" i="28" s="1"/>
  <c r="G71" i="35"/>
  <c r="T19" i="57"/>
  <c r="X32" i="37"/>
  <c r="G12" i="47"/>
  <c r="G15" i="47" s="1"/>
  <c r="T20" i="57"/>
  <c r="G12" i="48"/>
  <c r="G14" i="48" s="1"/>
  <c r="R18" i="57"/>
  <c r="R28" i="57" s="1"/>
  <c r="E22" i="28"/>
  <c r="E18" i="28"/>
  <c r="E19" i="28"/>
  <c r="H40" i="44"/>
  <c r="H30" i="44"/>
  <c r="H38" i="44"/>
  <c r="G38" i="35"/>
  <c r="I33" i="44"/>
  <c r="I29" i="44"/>
  <c r="I28" i="44"/>
  <c r="I27" i="44"/>
  <c r="I35" i="44"/>
  <c r="I34" i="44"/>
  <c r="I26" i="44"/>
  <c r="I37" i="44"/>
  <c r="I25" i="44"/>
  <c r="I36" i="44"/>
  <c r="I72" i="44"/>
  <c r="E21" i="28"/>
  <c r="G30" i="35"/>
  <c r="E20" i="28"/>
  <c r="H26" i="35"/>
  <c r="H28" i="35"/>
  <c r="H34" i="35"/>
  <c r="H35" i="35"/>
  <c r="H36" i="35"/>
  <c r="H33" i="35"/>
  <c r="H27" i="35"/>
  <c r="H29" i="35"/>
  <c r="H25" i="35"/>
  <c r="H16" i="35"/>
  <c r="H37" i="35"/>
  <c r="H44" i="35"/>
  <c r="F26" i="28" s="1"/>
  <c r="G43" i="35"/>
  <c r="F52" i="28"/>
  <c r="I44" i="44"/>
  <c r="K37" i="49"/>
  <c r="M70" i="49"/>
  <c r="M59" i="49"/>
  <c r="N39" i="49"/>
  <c r="L35" i="49"/>
  <c r="M33" i="49"/>
  <c r="L36" i="49"/>
  <c r="H73" i="44"/>
  <c r="I68" i="44" s="1"/>
  <c r="I71" i="44" s="1"/>
  <c r="J37" i="45"/>
  <c r="L63" i="48"/>
  <c r="L64" i="48" s="1"/>
  <c r="M37" i="48"/>
  <c r="L74" i="48"/>
  <c r="L85" i="48"/>
  <c r="L71" i="45"/>
  <c r="L60" i="45"/>
  <c r="M39" i="45"/>
  <c r="K72" i="46"/>
  <c r="L35" i="46"/>
  <c r="K61" i="46"/>
  <c r="K62" i="46" s="1"/>
  <c r="K83" i="46"/>
  <c r="I70" i="44"/>
  <c r="I69" i="44"/>
  <c r="I59" i="44"/>
  <c r="I62" i="44"/>
  <c r="I42" i="44"/>
  <c r="I43" i="44" s="1"/>
  <c r="I18" i="44"/>
  <c r="J13" i="44"/>
  <c r="N80" i="47"/>
  <c r="N69" i="47"/>
  <c r="N70" i="47" s="1"/>
  <c r="O41" i="47"/>
  <c r="O43" i="47" s="1"/>
  <c r="O35" i="47"/>
  <c r="K36" i="45"/>
  <c r="K34" i="45"/>
  <c r="L32" i="45"/>
  <c r="K35" i="45"/>
  <c r="H42" i="35"/>
  <c r="H73" i="35"/>
  <c r="I13" i="35"/>
  <c r="H71" i="35"/>
  <c r="H70" i="35"/>
  <c r="H63" i="35"/>
  <c r="G73" i="35" l="1"/>
  <c r="F73" i="35"/>
  <c r="P28" i="57"/>
  <c r="S34" i="57"/>
  <c r="S28" i="57"/>
  <c r="O14" i="57"/>
  <c r="O28" i="57" s="1"/>
  <c r="P34" i="57"/>
  <c r="Q34" i="57"/>
  <c r="R34" i="57"/>
  <c r="T18" i="57"/>
  <c r="H38" i="35"/>
  <c r="E25" i="28"/>
  <c r="E27" i="28" s="1"/>
  <c r="I30" i="44"/>
  <c r="I38" i="44"/>
  <c r="I40" i="44"/>
  <c r="G26" i="28"/>
  <c r="J34" i="44"/>
  <c r="J35" i="44"/>
  <c r="J33" i="44"/>
  <c r="J29" i="44"/>
  <c r="J36" i="44"/>
  <c r="J28" i="44"/>
  <c r="J27" i="44"/>
  <c r="J26" i="44"/>
  <c r="J37" i="44"/>
  <c r="J25" i="44"/>
  <c r="J72" i="44"/>
  <c r="F22" i="28"/>
  <c r="G22" i="28"/>
  <c r="F20" i="28"/>
  <c r="G20" i="28"/>
  <c r="F19" i="28"/>
  <c r="G19" i="28"/>
  <c r="I33" i="35"/>
  <c r="I35" i="35"/>
  <c r="I37" i="35"/>
  <c r="I16" i="35"/>
  <c r="I26" i="35"/>
  <c r="I28" i="35"/>
  <c r="I34" i="35"/>
  <c r="I36" i="35"/>
  <c r="I27" i="35"/>
  <c r="I29" i="35"/>
  <c r="I25" i="35"/>
  <c r="I44" i="35"/>
  <c r="H26" i="28" s="1"/>
  <c r="F18" i="28"/>
  <c r="H30" i="35"/>
  <c r="G18" i="28"/>
  <c r="F21" i="28"/>
  <c r="G21" i="28"/>
  <c r="H43" i="35"/>
  <c r="G52" i="28"/>
  <c r="J44" i="44"/>
  <c r="L37" i="49"/>
  <c r="M35" i="49"/>
  <c r="M36" i="49"/>
  <c r="N33" i="49"/>
  <c r="N70" i="49"/>
  <c r="N59" i="49"/>
  <c r="O39" i="49"/>
  <c r="I60" i="35"/>
  <c r="I63" i="35"/>
  <c r="I73" i="44"/>
  <c r="J68" i="44" s="1"/>
  <c r="J71" i="44" s="1"/>
  <c r="M32" i="45"/>
  <c r="L35" i="45"/>
  <c r="L36" i="45"/>
  <c r="L34" i="45"/>
  <c r="L37" i="45" s="1"/>
  <c r="K37" i="45"/>
  <c r="M71" i="45"/>
  <c r="M60" i="45"/>
  <c r="N39" i="45"/>
  <c r="M85" i="48"/>
  <c r="M74" i="48"/>
  <c r="N37" i="48"/>
  <c r="M63" i="48"/>
  <c r="M64" i="48" s="1"/>
  <c r="O80" i="47"/>
  <c r="O69" i="47"/>
  <c r="O70" i="47" s="1"/>
  <c r="P35" i="47"/>
  <c r="P41" i="47"/>
  <c r="P43" i="47" s="1"/>
  <c r="L83" i="46"/>
  <c r="L72" i="46"/>
  <c r="M35" i="46"/>
  <c r="L61" i="46"/>
  <c r="L62" i="46" s="1"/>
  <c r="J69" i="44"/>
  <c r="J70" i="44"/>
  <c r="J62" i="44"/>
  <c r="J42" i="44"/>
  <c r="J18" i="44"/>
  <c r="K13" i="44"/>
  <c r="J59" i="44"/>
  <c r="I73" i="35"/>
  <c r="J13" i="35"/>
  <c r="I42" i="35"/>
  <c r="I71" i="35"/>
  <c r="I70" i="35"/>
  <c r="O34" i="57" l="1"/>
  <c r="Q21" i="57"/>
  <c r="Q28" i="57"/>
  <c r="T14" i="57"/>
  <c r="H21" i="28"/>
  <c r="J38" i="44"/>
  <c r="J30" i="44"/>
  <c r="H19" i="28"/>
  <c r="E51" i="28"/>
  <c r="I38" i="35"/>
  <c r="J40" i="44"/>
  <c r="K35" i="44"/>
  <c r="K34" i="44"/>
  <c r="K37" i="44"/>
  <c r="K33" i="44"/>
  <c r="K29" i="44"/>
  <c r="K28" i="44"/>
  <c r="K16" i="44"/>
  <c r="K27" i="44"/>
  <c r="K36" i="44"/>
  <c r="K26" i="44"/>
  <c r="K25" i="44"/>
  <c r="K72" i="44"/>
  <c r="I30" i="35"/>
  <c r="H18" i="28"/>
  <c r="H22" i="28"/>
  <c r="H20" i="28"/>
  <c r="J33" i="35"/>
  <c r="J35" i="35"/>
  <c r="J37" i="35"/>
  <c r="J16" i="35"/>
  <c r="J26" i="35"/>
  <c r="J28" i="35"/>
  <c r="J25" i="35"/>
  <c r="J27" i="35"/>
  <c r="J34" i="35"/>
  <c r="J36" i="35"/>
  <c r="J29" i="35"/>
  <c r="J44" i="35"/>
  <c r="I26" i="28" s="1"/>
  <c r="I43" i="35"/>
  <c r="H52" i="28"/>
  <c r="J43" i="44"/>
  <c r="K44" i="44"/>
  <c r="M37" i="49"/>
  <c r="O70" i="49"/>
  <c r="O59" i="49"/>
  <c r="P39" i="49"/>
  <c r="O33" i="49"/>
  <c r="N35" i="49"/>
  <c r="N36" i="49"/>
  <c r="J73" i="44"/>
  <c r="K68" i="44" s="1"/>
  <c r="K71" i="44" s="1"/>
  <c r="J71" i="35"/>
  <c r="J63" i="35"/>
  <c r="N85" i="48"/>
  <c r="N74" i="48"/>
  <c r="N63" i="48"/>
  <c r="N64" i="48" s="1"/>
  <c r="O37" i="48"/>
  <c r="N71" i="45"/>
  <c r="N60" i="45"/>
  <c r="O39" i="45"/>
  <c r="P80" i="47"/>
  <c r="P69" i="47"/>
  <c r="P70" i="47" s="1"/>
  <c r="Q35" i="47"/>
  <c r="Q41" i="47"/>
  <c r="Q43" i="47" s="1"/>
  <c r="M61" i="46"/>
  <c r="M62" i="46" s="1"/>
  <c r="M83" i="46"/>
  <c r="N35" i="46"/>
  <c r="M72" i="46"/>
  <c r="K70" i="44"/>
  <c r="K62" i="44"/>
  <c r="K18" i="44"/>
  <c r="L13" i="44"/>
  <c r="K69" i="44"/>
  <c r="N32" i="45"/>
  <c r="M35" i="45"/>
  <c r="M34" i="45"/>
  <c r="M36" i="45"/>
  <c r="K13" i="35"/>
  <c r="J42" i="35"/>
  <c r="I52" i="28" s="1"/>
  <c r="J70" i="35"/>
  <c r="J73" i="35"/>
  <c r="J60" i="35"/>
  <c r="D43" i="37" l="1"/>
  <c r="D42" i="37"/>
  <c r="Q16" i="57"/>
  <c r="Q17" i="57" s="1"/>
  <c r="O16" i="57"/>
  <c r="O17" i="57" s="1"/>
  <c r="O21" i="57"/>
  <c r="I18" i="28"/>
  <c r="K30" i="44"/>
  <c r="K40" i="44"/>
  <c r="J40" i="35"/>
  <c r="J38" i="35"/>
  <c r="L25" i="44"/>
  <c r="L36" i="44"/>
  <c r="L35" i="44"/>
  <c r="L16" i="44"/>
  <c r="L34" i="44"/>
  <c r="L26" i="44"/>
  <c r="L33" i="44"/>
  <c r="L29" i="44"/>
  <c r="L28" i="44"/>
  <c r="L27" i="44"/>
  <c r="L37" i="44"/>
  <c r="L72" i="44"/>
  <c r="K38" i="44"/>
  <c r="I20" i="28"/>
  <c r="I21" i="28"/>
  <c r="I19" i="28"/>
  <c r="K16" i="35"/>
  <c r="J30" i="35"/>
  <c r="I22" i="28"/>
  <c r="J43" i="35"/>
  <c r="L44" i="44"/>
  <c r="M37" i="45"/>
  <c r="N37" i="49"/>
  <c r="P59" i="49"/>
  <c r="Q39" i="49"/>
  <c r="P70" i="49"/>
  <c r="O36" i="49"/>
  <c r="O35" i="49"/>
  <c r="P33" i="49"/>
  <c r="K73" i="35"/>
  <c r="K60" i="35"/>
  <c r="L13" i="35"/>
  <c r="K73" i="44"/>
  <c r="L68" i="44" s="1"/>
  <c r="L71" i="44" s="1"/>
  <c r="O85" i="48"/>
  <c r="O74" i="48"/>
  <c r="P37" i="48"/>
  <c r="O63" i="48"/>
  <c r="O64" i="48" s="1"/>
  <c r="O71" i="45"/>
  <c r="O60" i="45"/>
  <c r="P39" i="45"/>
  <c r="N83" i="46"/>
  <c r="O35" i="46"/>
  <c r="N61" i="46"/>
  <c r="N62" i="46" s="1"/>
  <c r="N72" i="46"/>
  <c r="R41" i="47"/>
  <c r="R43" i="47" s="1"/>
  <c r="R35" i="47"/>
  <c r="L62" i="44"/>
  <c r="L70" i="44"/>
  <c r="L59" i="44"/>
  <c r="L69" i="44"/>
  <c r="M13" i="44"/>
  <c r="L18" i="44"/>
  <c r="O32" i="45"/>
  <c r="N35" i="45"/>
  <c r="N36" i="45"/>
  <c r="N34" i="45"/>
  <c r="X29" i="37" l="1"/>
  <c r="G13" i="45"/>
  <c r="H57" i="37"/>
  <c r="X30" i="37"/>
  <c r="D58" i="37"/>
  <c r="G13" i="50"/>
  <c r="G15" i="50" s="1"/>
  <c r="G12" i="50" s="1"/>
  <c r="H58" i="37"/>
  <c r="L30" i="44"/>
  <c r="L38" i="44"/>
  <c r="M26" i="44"/>
  <c r="M37" i="44"/>
  <c r="M25" i="44"/>
  <c r="M36" i="44"/>
  <c r="M35" i="44"/>
  <c r="M34" i="44"/>
  <c r="M33" i="44"/>
  <c r="M16" i="44"/>
  <c r="M29" i="44"/>
  <c r="M28" i="44"/>
  <c r="M27" i="44"/>
  <c r="M72" i="44"/>
  <c r="L60" i="35"/>
  <c r="L16" i="35"/>
  <c r="L44" i="35"/>
  <c r="K26" i="28" s="1"/>
  <c r="M44" i="44"/>
  <c r="N37" i="45"/>
  <c r="R39" i="49"/>
  <c r="P36" i="49"/>
  <c r="Q33" i="49"/>
  <c r="P35" i="49"/>
  <c r="O37" i="49"/>
  <c r="M13" i="35"/>
  <c r="L63" i="35"/>
  <c r="L71" i="35"/>
  <c r="L70" i="35"/>
  <c r="L73" i="35"/>
  <c r="L73" i="44"/>
  <c r="M68" i="44" s="1"/>
  <c r="M71" i="44" s="1"/>
  <c r="R81" i="47"/>
  <c r="R83" i="47"/>
  <c r="R80" i="47"/>
  <c r="R69" i="47"/>
  <c r="R70" i="47" s="1"/>
  <c r="S41" i="47"/>
  <c r="S43" i="47" s="1"/>
  <c r="S35" i="47"/>
  <c r="P63" i="48"/>
  <c r="P64" i="48" s="1"/>
  <c r="P74" i="48"/>
  <c r="Q37" i="48"/>
  <c r="P85" i="48"/>
  <c r="O35" i="45"/>
  <c r="O36" i="45"/>
  <c r="O34" i="45"/>
  <c r="P32" i="45"/>
  <c r="P71" i="45"/>
  <c r="P60" i="45"/>
  <c r="Q39" i="45"/>
  <c r="O83" i="46"/>
  <c r="O72" i="46"/>
  <c r="O61" i="46"/>
  <c r="O62" i="46" s="1"/>
  <c r="P35" i="46"/>
  <c r="M69" i="44"/>
  <c r="M70" i="44"/>
  <c r="M59" i="44"/>
  <c r="N13" i="44"/>
  <c r="M62" i="44"/>
  <c r="M18" i="44"/>
  <c r="J46" i="50" l="1"/>
  <c r="M45" i="50"/>
  <c r="Q45" i="50"/>
  <c r="U45" i="50"/>
  <c r="Y46" i="50"/>
  <c r="AC45" i="50"/>
  <c r="AG46" i="50"/>
  <c r="AK45" i="50"/>
  <c r="J45" i="50"/>
  <c r="J51" i="50" s="1"/>
  <c r="V45" i="50"/>
  <c r="Z45" i="50"/>
  <c r="AH46" i="50"/>
  <c r="P45" i="50"/>
  <c r="AJ46" i="50"/>
  <c r="U46" i="50"/>
  <c r="AG45" i="50"/>
  <c r="AG51" i="50" s="1"/>
  <c r="G20" i="50"/>
  <c r="N45" i="50"/>
  <c r="R45" i="50"/>
  <c r="V46" i="50"/>
  <c r="Z46" i="50"/>
  <c r="AD45" i="50"/>
  <c r="AD51" i="50" s="1"/>
  <c r="AH45" i="50"/>
  <c r="AH51" i="50" s="1"/>
  <c r="N46" i="50"/>
  <c r="AD46" i="50"/>
  <c r="L45" i="50"/>
  <c r="X46" i="50"/>
  <c r="Q46" i="50"/>
  <c r="AK46" i="50"/>
  <c r="R46" i="50"/>
  <c r="I45" i="50"/>
  <c r="K45" i="50"/>
  <c r="K51" i="50" s="1"/>
  <c r="O45" i="50"/>
  <c r="S45" i="50"/>
  <c r="W46" i="50"/>
  <c r="AA46" i="50"/>
  <c r="AE46" i="50"/>
  <c r="AI46" i="50"/>
  <c r="K46" i="50"/>
  <c r="S46" i="50"/>
  <c r="W45" i="50"/>
  <c r="AA45" i="50"/>
  <c r="AE45" i="50"/>
  <c r="AI45" i="50"/>
  <c r="AF46" i="50"/>
  <c r="T46" i="50"/>
  <c r="AF45" i="50"/>
  <c r="Y45" i="50"/>
  <c r="Y51" i="50" s="1"/>
  <c r="O46" i="50"/>
  <c r="L46" i="50"/>
  <c r="P46" i="50"/>
  <c r="T45" i="50"/>
  <c r="X45" i="50"/>
  <c r="X51" i="50" s="1"/>
  <c r="AB46" i="50"/>
  <c r="AJ45" i="50"/>
  <c r="I46" i="50"/>
  <c r="AB45" i="50"/>
  <c r="M46" i="50"/>
  <c r="AC46" i="50"/>
  <c r="M30" i="44"/>
  <c r="M38" i="44"/>
  <c r="N16" i="44"/>
  <c r="N72" i="44"/>
  <c r="M16" i="35"/>
  <c r="M73" i="35"/>
  <c r="N13" i="35"/>
  <c r="Q35" i="49"/>
  <c r="R33" i="49"/>
  <c r="Q36" i="49"/>
  <c r="P37" i="49"/>
  <c r="R59" i="49"/>
  <c r="S39" i="49"/>
  <c r="R86" i="49"/>
  <c r="R61" i="49"/>
  <c r="R70" i="49"/>
  <c r="R71" i="49"/>
  <c r="R85" i="49"/>
  <c r="M60" i="35"/>
  <c r="M73" i="44"/>
  <c r="N68" i="44" s="1"/>
  <c r="N71" i="44" s="1"/>
  <c r="S83" i="47"/>
  <c r="S67" i="47"/>
  <c r="S69" i="47"/>
  <c r="S70" i="47" s="1"/>
  <c r="S81" i="47"/>
  <c r="T35" i="47"/>
  <c r="S80" i="47"/>
  <c r="T41" i="47"/>
  <c r="T43" i="47" s="1"/>
  <c r="P83" i="46"/>
  <c r="P72" i="46"/>
  <c r="P61" i="46"/>
  <c r="P62" i="46" s="1"/>
  <c r="Q35" i="46"/>
  <c r="R39" i="45"/>
  <c r="P36" i="45"/>
  <c r="P34" i="45"/>
  <c r="Q32" i="45"/>
  <c r="P35" i="45"/>
  <c r="O13" i="44"/>
  <c r="N59" i="44"/>
  <c r="N18" i="44"/>
  <c r="O37" i="45"/>
  <c r="Q85" i="48"/>
  <c r="R37" i="48"/>
  <c r="AK51" i="50" l="1"/>
  <c r="AC51" i="50"/>
  <c r="AA51" i="50"/>
  <c r="AJ51" i="50"/>
  <c r="AF51" i="50"/>
  <c r="I51" i="50"/>
  <c r="P51" i="50"/>
  <c r="T51" i="50"/>
  <c r="AI51" i="50"/>
  <c r="U51" i="50"/>
  <c r="AE51" i="50"/>
  <c r="R51" i="50"/>
  <c r="Z51" i="50"/>
  <c r="Q51" i="50"/>
  <c r="S51" i="50"/>
  <c r="L51" i="50"/>
  <c r="N51" i="50"/>
  <c r="V51" i="50"/>
  <c r="M51" i="50"/>
  <c r="AB51" i="50"/>
  <c r="W51" i="50"/>
  <c r="O51" i="50"/>
  <c r="L48" i="50"/>
  <c r="L49" i="50" s="1"/>
  <c r="T48" i="50"/>
  <c r="T49" i="50" s="1"/>
  <c r="T52" i="50" s="1"/>
  <c r="AB48" i="50"/>
  <c r="AB49" i="50" s="1"/>
  <c r="AJ48" i="50"/>
  <c r="AJ49" i="50" s="1"/>
  <c r="P48" i="50"/>
  <c r="P49" i="50" s="1"/>
  <c r="K48" i="50"/>
  <c r="K49" i="50" s="1"/>
  <c r="K52" i="50" s="1"/>
  <c r="Q48" i="50"/>
  <c r="Q49" i="50" s="1"/>
  <c r="M48" i="50"/>
  <c r="M49" i="50" s="1"/>
  <c r="U48" i="50"/>
  <c r="U49" i="50" s="1"/>
  <c r="AC48" i="50"/>
  <c r="AC49" i="50" s="1"/>
  <c r="AC52" i="50" s="1"/>
  <c r="AK48" i="50"/>
  <c r="AK49" i="50" s="1"/>
  <c r="AK52" i="50" s="1"/>
  <c r="X48" i="50"/>
  <c r="X49" i="50" s="1"/>
  <c r="X52" i="50" s="1"/>
  <c r="AI48" i="50"/>
  <c r="AI49" i="50" s="1"/>
  <c r="AI52" i="50" s="1"/>
  <c r="N48" i="50"/>
  <c r="N49" i="50" s="1"/>
  <c r="V48" i="50"/>
  <c r="V49" i="50" s="1"/>
  <c r="AD48" i="50"/>
  <c r="AD49" i="50" s="1"/>
  <c r="AD52" i="50" s="1"/>
  <c r="W48" i="50"/>
  <c r="W49" i="50" s="1"/>
  <c r="W52" i="50" s="1"/>
  <c r="J48" i="50"/>
  <c r="J49" i="50" s="1"/>
  <c r="J52" i="50" s="1"/>
  <c r="AF48" i="50"/>
  <c r="AF49" i="50" s="1"/>
  <c r="AF52" i="50" s="1"/>
  <c r="AG48" i="50"/>
  <c r="AG49" i="50" s="1"/>
  <c r="AG52" i="50" s="1"/>
  <c r="AA48" i="50"/>
  <c r="AA49" i="50" s="1"/>
  <c r="AA52" i="50" s="1"/>
  <c r="O48" i="50"/>
  <c r="O49" i="50" s="1"/>
  <c r="O52" i="50" s="1"/>
  <c r="AE48" i="50"/>
  <c r="AE49" i="50" s="1"/>
  <c r="Y48" i="50"/>
  <c r="Y49" i="50" s="1"/>
  <c r="Y52" i="50" s="1"/>
  <c r="H48" i="50"/>
  <c r="H49" i="50" s="1"/>
  <c r="H52" i="50" s="1"/>
  <c r="R48" i="50"/>
  <c r="R49" i="50" s="1"/>
  <c r="R52" i="50" s="1"/>
  <c r="Z48" i="50"/>
  <c r="Z49" i="50" s="1"/>
  <c r="Z52" i="50" s="1"/>
  <c r="AH48" i="50"/>
  <c r="AH49" i="50" s="1"/>
  <c r="AH52" i="50" s="1"/>
  <c r="I48" i="50"/>
  <c r="I49" i="50" s="1"/>
  <c r="I52" i="50" s="1"/>
  <c r="S48" i="50"/>
  <c r="S49" i="50" s="1"/>
  <c r="N73" i="35"/>
  <c r="O16" i="44"/>
  <c r="O72" i="44"/>
  <c r="N16" i="35"/>
  <c r="O13" i="35"/>
  <c r="N63" i="35"/>
  <c r="N60" i="35"/>
  <c r="N70" i="35"/>
  <c r="O44" i="44"/>
  <c r="Q37" i="49"/>
  <c r="R73" i="49"/>
  <c r="S86" i="49"/>
  <c r="S61" i="49"/>
  <c r="S70" i="49"/>
  <c r="T39" i="49"/>
  <c r="S59" i="49"/>
  <c r="S85" i="49"/>
  <c r="S71" i="49"/>
  <c r="R36" i="49"/>
  <c r="H46" i="49" s="1"/>
  <c r="R35" i="49"/>
  <c r="H45" i="49" s="1"/>
  <c r="Q83" i="46"/>
  <c r="R35" i="46"/>
  <c r="Q36" i="45"/>
  <c r="Q34" i="45"/>
  <c r="R32" i="45"/>
  <c r="Q35" i="45"/>
  <c r="S71" i="47"/>
  <c r="P37" i="45"/>
  <c r="R86" i="45"/>
  <c r="R72" i="45"/>
  <c r="R60" i="45"/>
  <c r="R87" i="45"/>
  <c r="R62" i="45"/>
  <c r="S39" i="45"/>
  <c r="R71" i="45"/>
  <c r="O70" i="44"/>
  <c r="P13" i="44"/>
  <c r="O59" i="44"/>
  <c r="O69" i="44"/>
  <c r="O18" i="44"/>
  <c r="O62" i="44"/>
  <c r="R85" i="48"/>
  <c r="R74" i="48"/>
  <c r="S37" i="48"/>
  <c r="R63" i="48"/>
  <c r="R64" i="48" s="1"/>
  <c r="R77" i="48"/>
  <c r="R75" i="48"/>
  <c r="T80" i="47"/>
  <c r="T81" i="47"/>
  <c r="T67" i="47"/>
  <c r="T83" i="47"/>
  <c r="U41" i="47"/>
  <c r="U43" i="47" s="1"/>
  <c r="U35" i="47"/>
  <c r="T69" i="47"/>
  <c r="T70" i="47" s="1"/>
  <c r="Q52" i="50" l="1"/>
  <c r="S52" i="50"/>
  <c r="P52" i="50"/>
  <c r="AJ52" i="50"/>
  <c r="AJ54" i="50" s="1"/>
  <c r="AJ57" i="50" s="1"/>
  <c r="AB52" i="50"/>
  <c r="P55" i="50"/>
  <c r="P56" i="50"/>
  <c r="P54" i="50"/>
  <c r="AJ56" i="50"/>
  <c r="AJ55" i="50"/>
  <c r="Z55" i="50"/>
  <c r="Z54" i="50"/>
  <c r="Z56" i="50"/>
  <c r="AF55" i="50"/>
  <c r="AF54" i="50"/>
  <c r="AF57" i="50" s="1"/>
  <c r="AF56" i="50"/>
  <c r="AK55" i="50"/>
  <c r="AK56" i="50"/>
  <c r="AK54" i="50"/>
  <c r="AB55" i="50"/>
  <c r="AB54" i="50"/>
  <c r="AB56" i="50"/>
  <c r="AB57" i="50"/>
  <c r="X55" i="50"/>
  <c r="X54" i="50"/>
  <c r="X57" i="50" s="1"/>
  <c r="X56" i="50"/>
  <c r="J54" i="50"/>
  <c r="J56" i="50"/>
  <c r="J55" i="50"/>
  <c r="J57" i="50" s="1"/>
  <c r="J61" i="50" s="1"/>
  <c r="T55" i="50"/>
  <c r="T54" i="50"/>
  <c r="T56" i="50"/>
  <c r="AA55" i="50"/>
  <c r="AA54" i="50"/>
  <c r="AA56" i="50"/>
  <c r="AA57" i="50"/>
  <c r="AG55" i="50"/>
  <c r="AG56" i="50"/>
  <c r="AG54" i="50"/>
  <c r="R55" i="50"/>
  <c r="R54" i="50"/>
  <c r="R56" i="50"/>
  <c r="H55" i="50"/>
  <c r="H54" i="50"/>
  <c r="H56" i="50"/>
  <c r="W56" i="50"/>
  <c r="W54" i="50"/>
  <c r="W57" i="50" s="1"/>
  <c r="W55" i="50"/>
  <c r="U52" i="50"/>
  <c r="L52" i="50"/>
  <c r="Y55" i="50"/>
  <c r="Y56" i="50"/>
  <c r="Y54" i="50"/>
  <c r="AD55" i="50"/>
  <c r="AD56" i="50"/>
  <c r="AD54" i="50"/>
  <c r="M52" i="50"/>
  <c r="AI55" i="50"/>
  <c r="AI56" i="50"/>
  <c r="AI54" i="50"/>
  <c r="AH54" i="50"/>
  <c r="AH56" i="50"/>
  <c r="AH55" i="50"/>
  <c r="AC55" i="50"/>
  <c r="AC54" i="50"/>
  <c r="AC56" i="50"/>
  <c r="AE52" i="50"/>
  <c r="V52" i="50"/>
  <c r="Q55" i="50"/>
  <c r="Q56" i="50"/>
  <c r="Q54" i="50"/>
  <c r="I54" i="50"/>
  <c r="I55" i="50"/>
  <c r="I56" i="50"/>
  <c r="S55" i="50"/>
  <c r="S54" i="50"/>
  <c r="S56" i="50"/>
  <c r="S57" i="50"/>
  <c r="O55" i="50"/>
  <c r="O54" i="50"/>
  <c r="O56" i="50"/>
  <c r="N52" i="50"/>
  <c r="K56" i="50"/>
  <c r="K55" i="50"/>
  <c r="K54" i="50"/>
  <c r="N34" i="44" s="1"/>
  <c r="K57" i="50"/>
  <c r="K61" i="50" s="1"/>
  <c r="N26" i="44"/>
  <c r="O70" i="35"/>
  <c r="P13" i="35"/>
  <c r="P71" i="35" s="1"/>
  <c r="O63" i="35"/>
  <c r="O73" i="35"/>
  <c r="O60" i="35"/>
  <c r="O71" i="35"/>
  <c r="P16" i="44"/>
  <c r="P72" i="44"/>
  <c r="P26" i="44"/>
  <c r="O16" i="35"/>
  <c r="O44" i="35"/>
  <c r="N26" i="28" s="1"/>
  <c r="Q37" i="45"/>
  <c r="R37" i="49"/>
  <c r="T70" i="49"/>
  <c r="T85" i="49"/>
  <c r="T71" i="49"/>
  <c r="U39" i="49"/>
  <c r="T59" i="49"/>
  <c r="T61" i="49"/>
  <c r="T86" i="49"/>
  <c r="S73" i="49"/>
  <c r="T71" i="47"/>
  <c r="R74" i="45"/>
  <c r="S85" i="48"/>
  <c r="S74" i="48"/>
  <c r="S63" i="48"/>
  <c r="S64" i="48" s="1"/>
  <c r="S75" i="48"/>
  <c r="S61" i="48"/>
  <c r="S77" i="48"/>
  <c r="T37" i="48"/>
  <c r="U69" i="47"/>
  <c r="U70" i="47" s="1"/>
  <c r="U83" i="47"/>
  <c r="V41" i="47"/>
  <c r="V43" i="47" s="1"/>
  <c r="V35" i="47"/>
  <c r="U80" i="47"/>
  <c r="U67" i="47"/>
  <c r="U81" i="47"/>
  <c r="P59" i="44"/>
  <c r="Q13" i="44"/>
  <c r="P18" i="44"/>
  <c r="S60" i="45"/>
  <c r="S87" i="45"/>
  <c r="S62" i="45"/>
  <c r="T39" i="45"/>
  <c r="S86" i="45"/>
  <c r="S72" i="45"/>
  <c r="S71" i="45"/>
  <c r="R36" i="45"/>
  <c r="H47" i="45" s="1"/>
  <c r="R34" i="45"/>
  <c r="R35" i="45"/>
  <c r="H46" i="45" s="1"/>
  <c r="R73" i="46"/>
  <c r="R75" i="46"/>
  <c r="R61" i="46"/>
  <c r="R62" i="46" s="1"/>
  <c r="R83" i="46"/>
  <c r="S35" i="46"/>
  <c r="R72" i="46"/>
  <c r="P73" i="35"/>
  <c r="Q13" i="35"/>
  <c r="Y57" i="50" l="1"/>
  <c r="AG57" i="50"/>
  <c r="H57" i="50"/>
  <c r="G25" i="50" s="1"/>
  <c r="Z57" i="50"/>
  <c r="Q57" i="50"/>
  <c r="R57" i="50"/>
  <c r="Q59" i="50" s="1"/>
  <c r="O57" i="50"/>
  <c r="O61" i="50" s="1"/>
  <c r="I57" i="50"/>
  <c r="I61" i="50" s="1"/>
  <c r="AC57" i="50"/>
  <c r="AD57" i="50"/>
  <c r="P57" i="50"/>
  <c r="P61" i="50" s="1"/>
  <c r="AH57" i="50"/>
  <c r="AK57" i="50"/>
  <c r="AI57" i="50"/>
  <c r="T57" i="50"/>
  <c r="H61" i="50"/>
  <c r="AE55" i="50"/>
  <c r="AE56" i="50"/>
  <c r="AE54" i="50"/>
  <c r="Q61" i="50"/>
  <c r="M55" i="50"/>
  <c r="M56" i="50"/>
  <c r="M54" i="50"/>
  <c r="N55" i="50"/>
  <c r="N56" i="50"/>
  <c r="N57" i="50" s="1"/>
  <c r="N61" i="50" s="1"/>
  <c r="N54" i="50"/>
  <c r="L55" i="50"/>
  <c r="L54" i="50"/>
  <c r="L56" i="50"/>
  <c r="O26" i="44"/>
  <c r="V55" i="50"/>
  <c r="V54" i="50"/>
  <c r="V56" i="50"/>
  <c r="U56" i="50"/>
  <c r="U54" i="50"/>
  <c r="U55" i="50"/>
  <c r="P60" i="35"/>
  <c r="P70" i="35"/>
  <c r="Q16" i="35"/>
  <c r="P16" i="35"/>
  <c r="Q16" i="44"/>
  <c r="Q72" i="44"/>
  <c r="Q26" i="44"/>
  <c r="H51" i="49"/>
  <c r="T73" i="49"/>
  <c r="U70" i="49"/>
  <c r="U85" i="49"/>
  <c r="U71" i="49"/>
  <c r="U59" i="49"/>
  <c r="V39" i="49"/>
  <c r="U61" i="49"/>
  <c r="U86" i="49"/>
  <c r="S65" i="48"/>
  <c r="U71" i="47"/>
  <c r="S74" i="45"/>
  <c r="T87" i="45"/>
  <c r="T62" i="45"/>
  <c r="T71" i="45"/>
  <c r="T86" i="45"/>
  <c r="T72" i="45"/>
  <c r="T60" i="45"/>
  <c r="U39" i="45"/>
  <c r="R37" i="45"/>
  <c r="H45" i="45"/>
  <c r="S75" i="46"/>
  <c r="S61" i="46"/>
  <c r="S62" i="46" s="1"/>
  <c r="S59" i="46"/>
  <c r="S83" i="46"/>
  <c r="S73" i="46"/>
  <c r="T35" i="46"/>
  <c r="S72" i="46"/>
  <c r="V67" i="47"/>
  <c r="V80" i="47"/>
  <c r="V81" i="47"/>
  <c r="W41" i="47"/>
  <c r="W43" i="47" s="1"/>
  <c r="V83" i="47"/>
  <c r="W35" i="47"/>
  <c r="V69" i="47"/>
  <c r="V70" i="47" s="1"/>
  <c r="T63" i="48"/>
  <c r="T64" i="48" s="1"/>
  <c r="T75" i="48"/>
  <c r="T77" i="48"/>
  <c r="T61" i="48"/>
  <c r="T85" i="48"/>
  <c r="T74" i="48"/>
  <c r="U37" i="48"/>
  <c r="Q59" i="44"/>
  <c r="Q18" i="44"/>
  <c r="R13" i="44"/>
  <c r="Q60" i="35"/>
  <c r="R13" i="35"/>
  <c r="U57" i="50" l="1"/>
  <c r="AE57" i="50"/>
  <c r="G24" i="50"/>
  <c r="L57" i="50"/>
  <c r="L61" i="50" s="1"/>
  <c r="F64" i="50" s="1"/>
  <c r="P34" i="44"/>
  <c r="Q34" i="44"/>
  <c r="V57" i="50"/>
  <c r="M57" i="50"/>
  <c r="M61" i="50" s="1"/>
  <c r="O34" i="44"/>
  <c r="R16" i="44"/>
  <c r="R72" i="44"/>
  <c r="R34" i="44"/>
  <c r="R26" i="44"/>
  <c r="R16" i="35"/>
  <c r="R44" i="35"/>
  <c r="R46" i="35"/>
  <c r="R44" i="44"/>
  <c r="R46" i="44"/>
  <c r="U73" i="49"/>
  <c r="V70" i="49"/>
  <c r="V85" i="49"/>
  <c r="V71" i="49"/>
  <c r="V59" i="49"/>
  <c r="W39" i="49"/>
  <c r="V86" i="49"/>
  <c r="V61" i="49"/>
  <c r="T65" i="48"/>
  <c r="S63" i="46"/>
  <c r="V71" i="47"/>
  <c r="R69" i="44"/>
  <c r="R70" i="44"/>
  <c r="R18" i="44"/>
  <c r="R62" i="44"/>
  <c r="R59" i="44"/>
  <c r="S13" i="44"/>
  <c r="T74" i="45"/>
  <c r="U86" i="45"/>
  <c r="U62" i="45"/>
  <c r="U72" i="45"/>
  <c r="U71" i="45"/>
  <c r="U60" i="45"/>
  <c r="U87" i="45"/>
  <c r="V39" i="45"/>
  <c r="H52" i="45"/>
  <c r="T83" i="46"/>
  <c r="T72" i="46"/>
  <c r="T73" i="46"/>
  <c r="U35" i="46"/>
  <c r="T61" i="46"/>
  <c r="T62" i="46" s="1"/>
  <c r="T59" i="46"/>
  <c r="T75" i="46"/>
  <c r="W67" i="47"/>
  <c r="W80" i="47"/>
  <c r="W69" i="47"/>
  <c r="W70" i="47" s="1"/>
  <c r="W83" i="47"/>
  <c r="X35" i="47"/>
  <c r="W81" i="47"/>
  <c r="X41" i="47"/>
  <c r="X43" i="47" s="1"/>
  <c r="U75" i="48"/>
  <c r="U77" i="48"/>
  <c r="U61" i="48"/>
  <c r="U85" i="48"/>
  <c r="U74" i="48"/>
  <c r="V37" i="48"/>
  <c r="U63" i="48"/>
  <c r="U64" i="48" s="1"/>
  <c r="R73" i="35"/>
  <c r="R71" i="35"/>
  <c r="S13" i="35"/>
  <c r="R70" i="35"/>
  <c r="R60" i="35"/>
  <c r="R63" i="35"/>
  <c r="S16" i="44" l="1"/>
  <c r="S72" i="44"/>
  <c r="S26" i="44"/>
  <c r="S34" i="44"/>
  <c r="S16" i="35"/>
  <c r="S44" i="35"/>
  <c r="S46" i="35"/>
  <c r="S44" i="44"/>
  <c r="S46" i="44"/>
  <c r="V73" i="49"/>
  <c r="W70" i="49"/>
  <c r="W85" i="49"/>
  <c r="W71" i="49"/>
  <c r="W59" i="49"/>
  <c r="X39" i="49"/>
  <c r="W86" i="49"/>
  <c r="W61" i="49"/>
  <c r="T63" i="46"/>
  <c r="W71" i="47"/>
  <c r="U61" i="46"/>
  <c r="U62" i="46" s="1"/>
  <c r="U83" i="46"/>
  <c r="U72" i="46"/>
  <c r="U75" i="46"/>
  <c r="U73" i="46"/>
  <c r="U59" i="46"/>
  <c r="V35" i="46"/>
  <c r="S70" i="44"/>
  <c r="S18" i="44"/>
  <c r="S62" i="44"/>
  <c r="S69" i="44"/>
  <c r="T13" i="44"/>
  <c r="S59" i="44"/>
  <c r="V77" i="48"/>
  <c r="V61" i="48"/>
  <c r="V85" i="48"/>
  <c r="V74" i="48"/>
  <c r="W37" i="48"/>
  <c r="V63" i="48"/>
  <c r="V64" i="48" s="1"/>
  <c r="V75" i="48"/>
  <c r="V71" i="45"/>
  <c r="V86" i="45"/>
  <c r="V72" i="45"/>
  <c r="V87" i="45"/>
  <c r="V60" i="45"/>
  <c r="W39" i="45"/>
  <c r="V62" i="45"/>
  <c r="X80" i="47"/>
  <c r="X69" i="47"/>
  <c r="X70" i="47" s="1"/>
  <c r="X81" i="47"/>
  <c r="X83" i="47"/>
  <c r="X67" i="47"/>
  <c r="Y35" i="47"/>
  <c r="Y41" i="47"/>
  <c r="Y43" i="47" s="1"/>
  <c r="U65" i="48"/>
  <c r="U74" i="45"/>
  <c r="S73" i="35"/>
  <c r="S60" i="35"/>
  <c r="T13" i="35"/>
  <c r="S63" i="35"/>
  <c r="S71" i="35"/>
  <c r="S18" i="35"/>
  <c r="S70" i="35"/>
  <c r="T16" i="44" l="1"/>
  <c r="T72" i="44"/>
  <c r="T26" i="44"/>
  <c r="T34" i="44"/>
  <c r="T16" i="35"/>
  <c r="T44" i="35"/>
  <c r="T46" i="35"/>
  <c r="T44" i="44"/>
  <c r="T46" i="44"/>
  <c r="X85" i="49"/>
  <c r="X71" i="49"/>
  <c r="X59" i="49"/>
  <c r="Y39" i="49"/>
  <c r="X86" i="49"/>
  <c r="X61" i="49"/>
  <c r="X70" i="49"/>
  <c r="W73" i="49"/>
  <c r="X71" i="47"/>
  <c r="Y69" i="47"/>
  <c r="Y70" i="47" s="1"/>
  <c r="Y81" i="47"/>
  <c r="Y83" i="47"/>
  <c r="Y80" i="47"/>
  <c r="Y67" i="47"/>
  <c r="Z41" i="47"/>
  <c r="Z43" i="47" s="1"/>
  <c r="Z35" i="47"/>
  <c r="W85" i="48"/>
  <c r="W74" i="48"/>
  <c r="X37" i="48"/>
  <c r="W63" i="48"/>
  <c r="W64" i="48" s="1"/>
  <c r="W75" i="48"/>
  <c r="W77" i="48"/>
  <c r="W61" i="48"/>
  <c r="V74" i="45"/>
  <c r="T59" i="44"/>
  <c r="T18" i="44"/>
  <c r="U13" i="44"/>
  <c r="W71" i="45"/>
  <c r="W60" i="45"/>
  <c r="W87" i="45"/>
  <c r="W72" i="45"/>
  <c r="W86" i="45"/>
  <c r="X39" i="45"/>
  <c r="W62" i="45"/>
  <c r="V65" i="48"/>
  <c r="V83" i="46"/>
  <c r="V73" i="46"/>
  <c r="V72" i="46"/>
  <c r="V61" i="46"/>
  <c r="V62" i="46" s="1"/>
  <c r="V59" i="46"/>
  <c r="W35" i="46"/>
  <c r="V75" i="46"/>
  <c r="U63" i="46"/>
  <c r="T73" i="35"/>
  <c r="T71" i="35"/>
  <c r="T60" i="35"/>
  <c r="T18" i="35"/>
  <c r="T70" i="35"/>
  <c r="U13" i="35"/>
  <c r="T63" i="35"/>
  <c r="U16" i="44" l="1"/>
  <c r="U72" i="44"/>
  <c r="U26" i="44"/>
  <c r="U34" i="44"/>
  <c r="U16" i="35"/>
  <c r="U44" i="35"/>
  <c r="U46" i="35"/>
  <c r="U44" i="44"/>
  <c r="U46" i="44"/>
  <c r="X73" i="49"/>
  <c r="Y85" i="49"/>
  <c r="Y71" i="49"/>
  <c r="Y59" i="49"/>
  <c r="Z39" i="49"/>
  <c r="Y86" i="49"/>
  <c r="Y61" i="49"/>
  <c r="Y70" i="49"/>
  <c r="W65" i="48"/>
  <c r="X71" i="45"/>
  <c r="X86" i="45"/>
  <c r="X72" i="45"/>
  <c r="X87" i="45"/>
  <c r="X62" i="45"/>
  <c r="X60" i="45"/>
  <c r="Y39" i="45"/>
  <c r="Z81" i="47"/>
  <c r="Z83" i="47"/>
  <c r="Z80" i="47"/>
  <c r="Z67" i="47"/>
  <c r="Z69" i="47"/>
  <c r="Z70" i="47" s="1"/>
  <c r="AA41" i="47"/>
  <c r="AA43" i="47" s="1"/>
  <c r="AA35" i="47"/>
  <c r="W83" i="46"/>
  <c r="W72" i="46"/>
  <c r="W75" i="46"/>
  <c r="W59" i="46"/>
  <c r="W73" i="46"/>
  <c r="X35" i="46"/>
  <c r="W61" i="46"/>
  <c r="W62" i="46" s="1"/>
  <c r="U69" i="44"/>
  <c r="U62" i="44"/>
  <c r="V13" i="44"/>
  <c r="U59" i="44"/>
  <c r="U70" i="44"/>
  <c r="U18" i="44"/>
  <c r="Y71" i="47"/>
  <c r="V63" i="46"/>
  <c r="W74" i="45"/>
  <c r="X61" i="48"/>
  <c r="X63" i="48"/>
  <c r="X64" i="48" s="1"/>
  <c r="X75" i="48"/>
  <c r="X77" i="48"/>
  <c r="Y37" i="48"/>
  <c r="X85" i="48"/>
  <c r="X74" i="48"/>
  <c r="U18" i="35"/>
  <c r="U70" i="35"/>
  <c r="V13" i="35"/>
  <c r="U63" i="35"/>
  <c r="U71" i="35"/>
  <c r="U60" i="35"/>
  <c r="V16" i="44" l="1"/>
  <c r="V72" i="44"/>
  <c r="V26" i="44"/>
  <c r="V34" i="44"/>
  <c r="V16" i="35"/>
  <c r="V44" i="35"/>
  <c r="V46" i="35"/>
  <c r="V46" i="44"/>
  <c r="V44" i="44"/>
  <c r="Y73" i="49"/>
  <c r="Z59" i="49"/>
  <c r="AA39" i="49"/>
  <c r="Z86" i="49"/>
  <c r="Z61" i="49"/>
  <c r="Z70" i="49"/>
  <c r="Z85" i="49"/>
  <c r="Z71" i="49"/>
  <c r="W63" i="46"/>
  <c r="Y61" i="48"/>
  <c r="Y85" i="48"/>
  <c r="Y74" i="48"/>
  <c r="Y75" i="48"/>
  <c r="Y77" i="48"/>
  <c r="Y63" i="48"/>
  <c r="Y64" i="48" s="1"/>
  <c r="Z37" i="48"/>
  <c r="Y86" i="45"/>
  <c r="Y72" i="45"/>
  <c r="Y60" i="45"/>
  <c r="Y71" i="45"/>
  <c r="Z39" i="45"/>
  <c r="Y87" i="45"/>
  <c r="Y62" i="45"/>
  <c r="V62" i="44"/>
  <c r="V69" i="44"/>
  <c r="V70" i="44"/>
  <c r="W13" i="44"/>
  <c r="V59" i="44"/>
  <c r="V18" i="44"/>
  <c r="X74" i="45"/>
  <c r="X65" i="48"/>
  <c r="X83" i="46"/>
  <c r="X72" i="46"/>
  <c r="X61" i="46"/>
  <c r="X62" i="46" s="1"/>
  <c r="X75" i="46"/>
  <c r="Y35" i="46"/>
  <c r="X59" i="46"/>
  <c r="X73" i="46"/>
  <c r="AA83" i="47"/>
  <c r="AA67" i="47"/>
  <c r="AA69" i="47"/>
  <c r="AA70" i="47" s="1"/>
  <c r="AA81" i="47"/>
  <c r="AB35" i="47"/>
  <c r="AB41" i="47"/>
  <c r="AB43" i="47" s="1"/>
  <c r="AA80" i="47"/>
  <c r="Z71" i="47"/>
  <c r="V73" i="35"/>
  <c r="V18" i="35"/>
  <c r="V63" i="35"/>
  <c r="V60" i="35"/>
  <c r="W13" i="35"/>
  <c r="V70" i="35"/>
  <c r="V71" i="35"/>
  <c r="W16" i="44" l="1"/>
  <c r="W72" i="44"/>
  <c r="W26" i="44"/>
  <c r="W34" i="44"/>
  <c r="W16" i="35"/>
  <c r="W44" i="35"/>
  <c r="W46" i="35"/>
  <c r="W46" i="44"/>
  <c r="W44" i="44"/>
  <c r="Z73" i="49"/>
  <c r="AA86" i="49"/>
  <c r="AA61" i="49"/>
  <c r="AA70" i="49"/>
  <c r="AA85" i="49"/>
  <c r="AA59" i="49"/>
  <c r="AB39" i="49"/>
  <c r="AA71" i="49"/>
  <c r="AA71" i="47"/>
  <c r="Z61" i="48"/>
  <c r="Z85" i="48"/>
  <c r="Z74" i="48"/>
  <c r="AA37" i="48"/>
  <c r="Z63" i="48"/>
  <c r="Z64" i="48" s="1"/>
  <c r="Z77" i="48"/>
  <c r="Z75" i="48"/>
  <c r="Y74" i="45"/>
  <c r="Z86" i="45"/>
  <c r="Z72" i="45"/>
  <c r="Z60" i="45"/>
  <c r="Z87" i="45"/>
  <c r="Z62" i="45"/>
  <c r="Z71" i="45"/>
  <c r="AA39" i="45"/>
  <c r="W70" i="44"/>
  <c r="W62" i="44"/>
  <c r="X13" i="44"/>
  <c r="W69" i="44"/>
  <c r="W59" i="44"/>
  <c r="W18" i="44"/>
  <c r="AB80" i="47"/>
  <c r="AB81" i="47"/>
  <c r="AB83" i="47"/>
  <c r="AC41" i="47"/>
  <c r="AC43" i="47" s="1"/>
  <c r="AB69" i="47"/>
  <c r="AB70" i="47" s="1"/>
  <c r="AC35" i="47"/>
  <c r="AB67" i="47"/>
  <c r="X63" i="46"/>
  <c r="Y65" i="48"/>
  <c r="Y61" i="46"/>
  <c r="Y62" i="46" s="1"/>
  <c r="Y73" i="46"/>
  <c r="Y72" i="46"/>
  <c r="Y75" i="46"/>
  <c r="Y59" i="46"/>
  <c r="Z35" i="46"/>
  <c r="Y83" i="46"/>
  <c r="W18" i="35"/>
  <c r="W63" i="35"/>
  <c r="W71" i="35"/>
  <c r="X13" i="35"/>
  <c r="W70" i="35"/>
  <c r="W60" i="35"/>
  <c r="X16" i="44" l="1"/>
  <c r="X26" i="44"/>
  <c r="X34" i="44"/>
  <c r="X16" i="35"/>
  <c r="X44" i="35"/>
  <c r="X46" i="35"/>
  <c r="X44" i="44"/>
  <c r="X46" i="44"/>
  <c r="AB70" i="49"/>
  <c r="AB85" i="49"/>
  <c r="AB71" i="49"/>
  <c r="AB86" i="49"/>
  <c r="AB61" i="49"/>
  <c r="AC39" i="49"/>
  <c r="AB59" i="49"/>
  <c r="AA73" i="49"/>
  <c r="AB71" i="47"/>
  <c r="Z65" i="48"/>
  <c r="Y63" i="46"/>
  <c r="Z73" i="46"/>
  <c r="Z75" i="46"/>
  <c r="Z59" i="46"/>
  <c r="AA35" i="46"/>
  <c r="Z61" i="46"/>
  <c r="Z62" i="46" s="1"/>
  <c r="Z72" i="46"/>
  <c r="Z83" i="46"/>
  <c r="AC69" i="47"/>
  <c r="AC70" i="47" s="1"/>
  <c r="AC80" i="47"/>
  <c r="AC67" i="47"/>
  <c r="AC83" i="47"/>
  <c r="AD41" i="47"/>
  <c r="AD43" i="47" s="1"/>
  <c r="AD35" i="47"/>
  <c r="AC81" i="47"/>
  <c r="Z74" i="45"/>
  <c r="AA85" i="48"/>
  <c r="AA74" i="48"/>
  <c r="AA63" i="48"/>
  <c r="AA64" i="48" s="1"/>
  <c r="AA75" i="48"/>
  <c r="AB37" i="48"/>
  <c r="AA77" i="48"/>
  <c r="AA61" i="48"/>
  <c r="X69" i="44"/>
  <c r="X59" i="44"/>
  <c r="X70" i="44"/>
  <c r="Y13" i="44"/>
  <c r="X62" i="44"/>
  <c r="X18" i="44"/>
  <c r="AA60" i="45"/>
  <c r="AA87" i="45"/>
  <c r="AA62" i="45"/>
  <c r="AA71" i="45"/>
  <c r="AA86" i="45"/>
  <c r="AA72" i="45"/>
  <c r="AB39" i="45"/>
  <c r="X70" i="35"/>
  <c r="X18" i="35"/>
  <c r="X63" i="35"/>
  <c r="X60" i="35"/>
  <c r="X71" i="35"/>
  <c r="Y13" i="35"/>
  <c r="Y16" i="44" l="1"/>
  <c r="Y72" i="44"/>
  <c r="Y26" i="44"/>
  <c r="Y34" i="44"/>
  <c r="Y16" i="35"/>
  <c r="Y44" i="35"/>
  <c r="Y46" i="35"/>
  <c r="Y44" i="44"/>
  <c r="Y46" i="44"/>
  <c r="AC70" i="49"/>
  <c r="AC85" i="49"/>
  <c r="AC71" i="49"/>
  <c r="AC59" i="49"/>
  <c r="AD39" i="49"/>
  <c r="AC86" i="49"/>
  <c r="AC61" i="49"/>
  <c r="AB73" i="49"/>
  <c r="AC71" i="47"/>
  <c r="Z63" i="46"/>
  <c r="AA65" i="48"/>
  <c r="AB63" i="48"/>
  <c r="AB64" i="48" s="1"/>
  <c r="AB75" i="48"/>
  <c r="AB77" i="48"/>
  <c r="AC37" i="48"/>
  <c r="AB61" i="48"/>
  <c r="AB85" i="48"/>
  <c r="AB74" i="48"/>
  <c r="AA75" i="46"/>
  <c r="AA59" i="46"/>
  <c r="AB35" i="46"/>
  <c r="AA73" i="46"/>
  <c r="AA72" i="46"/>
  <c r="AA83" i="46"/>
  <c r="AA61" i="46"/>
  <c r="AA62" i="46" s="1"/>
  <c r="AB87" i="45"/>
  <c r="AB62" i="45"/>
  <c r="AB71" i="45"/>
  <c r="AB86" i="45"/>
  <c r="AB72" i="45"/>
  <c r="AB60" i="45"/>
  <c r="AC39" i="45"/>
  <c r="AD67" i="47"/>
  <c r="AD80" i="47"/>
  <c r="AD81" i="47"/>
  <c r="AD69" i="47"/>
  <c r="AD70" i="47" s="1"/>
  <c r="AE41" i="47"/>
  <c r="AE43" i="47" s="1"/>
  <c r="AE35" i="47"/>
  <c r="AD83" i="47"/>
  <c r="AA74" i="45"/>
  <c r="Y69" i="44"/>
  <c r="Y70" i="44"/>
  <c r="Y59" i="44"/>
  <c r="Y18" i="44"/>
  <c r="Z13" i="44"/>
  <c r="Y62" i="44"/>
  <c r="Y73" i="35"/>
  <c r="Y70" i="35"/>
  <c r="Y71" i="35"/>
  <c r="Y60" i="35"/>
  <c r="Z13" i="35"/>
  <c r="Y18" i="35"/>
  <c r="Y63" i="35"/>
  <c r="Z16" i="44" l="1"/>
  <c r="Z26" i="44"/>
  <c r="Z34" i="44"/>
  <c r="Z16" i="35"/>
  <c r="Z44" i="35"/>
  <c r="Z46" i="35"/>
  <c r="Z44" i="44"/>
  <c r="Z46" i="44"/>
  <c r="AD70" i="49"/>
  <c r="AD85" i="49"/>
  <c r="AD71" i="49"/>
  <c r="AD59" i="49"/>
  <c r="AE39" i="49"/>
  <c r="AD86" i="49"/>
  <c r="AD61" i="49"/>
  <c r="AC73" i="49"/>
  <c r="AD71" i="47"/>
  <c r="AB65" i="48"/>
  <c r="AB74" i="45"/>
  <c r="Z69" i="44"/>
  <c r="Z70" i="44"/>
  <c r="Z18" i="44"/>
  <c r="Z62" i="44"/>
  <c r="AA13" i="44"/>
  <c r="Z59" i="44"/>
  <c r="AC86" i="45"/>
  <c r="AC71" i="45"/>
  <c r="AC72" i="45"/>
  <c r="AC87" i="45"/>
  <c r="AC60" i="45"/>
  <c r="AC62" i="45"/>
  <c r="AD39" i="45"/>
  <c r="AE67" i="47"/>
  <c r="AE80" i="47"/>
  <c r="AE69" i="47"/>
  <c r="AE70" i="47" s="1"/>
  <c r="AE83" i="47"/>
  <c r="AE81" i="47"/>
  <c r="AF35" i="47"/>
  <c r="AF41" i="47"/>
  <c r="AF43" i="47" s="1"/>
  <c r="AB83" i="46"/>
  <c r="AB72" i="46"/>
  <c r="AB75" i="46"/>
  <c r="AC35" i="46"/>
  <c r="AB61" i="46"/>
  <c r="AB62" i="46" s="1"/>
  <c r="AB59" i="46"/>
  <c r="AB73" i="46"/>
  <c r="AC75" i="48"/>
  <c r="AC77" i="48"/>
  <c r="AC61" i="48"/>
  <c r="AC85" i="48"/>
  <c r="AC74" i="48"/>
  <c r="AC63" i="48"/>
  <c r="AC64" i="48" s="1"/>
  <c r="AD37" i="48"/>
  <c r="AA63" i="46"/>
  <c r="Z60" i="35"/>
  <c r="Z18" i="35"/>
  <c r="Z71" i="35"/>
  <c r="Z63" i="35"/>
  <c r="AA13" i="35"/>
  <c r="Z70" i="35"/>
  <c r="AA16" i="44" l="1"/>
  <c r="AA26" i="44"/>
  <c r="AA34" i="44"/>
  <c r="AA16" i="35"/>
  <c r="AA44" i="35"/>
  <c r="AA46" i="35"/>
  <c r="AA44" i="44"/>
  <c r="AA46" i="44"/>
  <c r="AD73" i="49"/>
  <c r="AE70" i="49"/>
  <c r="AE85" i="49"/>
  <c r="AE71" i="49"/>
  <c r="AE59" i="49"/>
  <c r="AF39" i="49"/>
  <c r="AE86" i="49"/>
  <c r="AE61" i="49"/>
  <c r="AC65" i="48"/>
  <c r="AF80" i="47"/>
  <c r="AF69" i="47"/>
  <c r="AF70" i="47" s="1"/>
  <c r="AF81" i="47"/>
  <c r="AF67" i="47"/>
  <c r="AF83" i="47"/>
  <c r="AG35" i="47"/>
  <c r="AG41" i="47"/>
  <c r="AG43" i="47" s="1"/>
  <c r="AB63" i="46"/>
  <c r="AA70" i="44"/>
  <c r="AA69" i="44"/>
  <c r="AA18" i="44"/>
  <c r="AA62" i="44"/>
  <c r="AB13" i="44"/>
  <c r="AB75" i="44" s="1"/>
  <c r="AA59" i="44"/>
  <c r="AD71" i="45"/>
  <c r="AD86" i="45"/>
  <c r="AD72" i="45"/>
  <c r="AD87" i="45"/>
  <c r="AD62" i="45"/>
  <c r="AE39" i="45"/>
  <c r="AD60" i="45"/>
  <c r="AC74" i="45"/>
  <c r="AC61" i="46"/>
  <c r="AC62" i="46" s="1"/>
  <c r="AC73" i="46"/>
  <c r="AC83" i="46"/>
  <c r="AC59" i="46"/>
  <c r="AD35" i="46"/>
  <c r="AC75" i="46"/>
  <c r="AC72" i="46"/>
  <c r="AD77" i="48"/>
  <c r="AD61" i="48"/>
  <c r="AE37" i="48"/>
  <c r="AD85" i="48"/>
  <c r="AD74" i="48"/>
  <c r="AD63" i="48"/>
  <c r="AD64" i="48" s="1"/>
  <c r="AD75" i="48"/>
  <c r="AE71" i="47"/>
  <c r="AB13" i="35"/>
  <c r="AB76" i="35" s="1"/>
  <c r="AA70" i="35"/>
  <c r="AA18" i="35"/>
  <c r="AA71" i="35"/>
  <c r="AA60" i="35"/>
  <c r="AA63" i="35"/>
  <c r="AB16" i="44" l="1"/>
  <c r="AB72" i="44"/>
  <c r="AB26" i="44"/>
  <c r="AB34" i="44"/>
  <c r="AB16" i="35"/>
  <c r="AB44" i="35"/>
  <c r="AB46" i="35"/>
  <c r="AB44" i="44"/>
  <c r="AB46" i="44"/>
  <c r="AE73" i="49"/>
  <c r="AF85" i="49"/>
  <c r="AF71" i="49"/>
  <c r="AF59" i="49"/>
  <c r="AG39" i="49"/>
  <c r="AF86" i="49"/>
  <c r="AF61" i="49"/>
  <c r="AF70" i="49"/>
  <c r="AF71" i="47"/>
  <c r="AE85" i="48"/>
  <c r="AE74" i="48"/>
  <c r="AF37" i="48"/>
  <c r="AE63" i="48"/>
  <c r="AE64" i="48" s="1"/>
  <c r="AE75" i="48"/>
  <c r="AE77" i="48"/>
  <c r="AE61" i="48"/>
  <c r="AE71" i="45"/>
  <c r="AE60" i="45"/>
  <c r="AE87" i="45"/>
  <c r="AE72" i="45"/>
  <c r="AE62" i="45"/>
  <c r="AE86" i="45"/>
  <c r="AF39" i="45"/>
  <c r="AD74" i="45"/>
  <c r="AD65" i="48"/>
  <c r="AC63" i="46"/>
  <c r="AB62" i="44"/>
  <c r="AB69" i="44"/>
  <c r="AB70" i="44"/>
  <c r="AB59" i="44"/>
  <c r="AC13" i="44"/>
  <c r="AC75" i="44" s="1"/>
  <c r="AB18" i="44"/>
  <c r="AG69" i="47"/>
  <c r="AG70" i="47" s="1"/>
  <c r="AG81" i="47"/>
  <c r="AG83" i="47"/>
  <c r="AG67" i="47"/>
  <c r="AG80" i="47"/>
  <c r="AH41" i="47"/>
  <c r="AH43" i="47" s="1"/>
  <c r="AH35" i="47"/>
  <c r="AD59" i="46"/>
  <c r="AD83" i="46"/>
  <c r="AD73" i="46"/>
  <c r="AD61" i="46"/>
  <c r="AD62" i="46" s="1"/>
  <c r="AD72" i="46"/>
  <c r="AE35" i="46"/>
  <c r="AD75" i="46"/>
  <c r="AB73" i="35"/>
  <c r="AB60" i="35"/>
  <c r="AB63" i="35"/>
  <c r="AB18" i="35"/>
  <c r="AC13" i="35"/>
  <c r="AC76" i="35" s="1"/>
  <c r="AB71" i="35"/>
  <c r="AB70" i="35"/>
  <c r="AC16" i="44" l="1"/>
  <c r="AC72" i="44"/>
  <c r="AC26" i="44"/>
  <c r="AC34" i="44"/>
  <c r="AC16" i="35"/>
  <c r="AC44" i="35"/>
  <c r="AC46" i="35"/>
  <c r="AC44" i="44"/>
  <c r="AC46" i="44"/>
  <c r="AG85" i="49"/>
  <c r="AG71" i="49"/>
  <c r="AG59" i="49"/>
  <c r="AH39" i="49"/>
  <c r="AG86" i="49"/>
  <c r="AG61" i="49"/>
  <c r="AG70" i="49"/>
  <c r="AF73" i="49"/>
  <c r="AD63" i="46"/>
  <c r="AE65" i="48"/>
  <c r="AE83" i="46"/>
  <c r="AE72" i="46"/>
  <c r="AE75" i="46"/>
  <c r="AE61" i="46"/>
  <c r="AE62" i="46" s="1"/>
  <c r="AE73" i="46"/>
  <c r="AE59" i="46"/>
  <c r="AF35" i="46"/>
  <c r="AC69" i="44"/>
  <c r="AC59" i="44"/>
  <c r="AC62" i="44"/>
  <c r="AD13" i="44"/>
  <c r="AD75" i="44" s="1"/>
  <c r="AC70" i="44"/>
  <c r="AC18" i="44"/>
  <c r="AG71" i="47"/>
  <c r="AF71" i="45"/>
  <c r="AF86" i="45"/>
  <c r="AF72" i="45"/>
  <c r="AF87" i="45"/>
  <c r="AF62" i="45"/>
  <c r="AF60" i="45"/>
  <c r="AG39" i="45"/>
  <c r="AF61" i="48"/>
  <c r="AF63" i="48"/>
  <c r="AF64" i="48" s="1"/>
  <c r="AG37" i="48"/>
  <c r="AF75" i="48"/>
  <c r="AF77" i="48"/>
  <c r="AF74" i="48"/>
  <c r="AF85" i="48"/>
  <c r="AE74" i="45"/>
  <c r="AH81" i="47"/>
  <c r="AH83" i="47"/>
  <c r="AH80" i="47"/>
  <c r="AH69" i="47"/>
  <c r="AH70" i="47" s="1"/>
  <c r="AH67" i="47"/>
  <c r="AI41" i="47"/>
  <c r="AI43" i="47" s="1"/>
  <c r="AI35" i="47"/>
  <c r="AC73" i="35"/>
  <c r="AD13" i="35"/>
  <c r="AD76" i="35" s="1"/>
  <c r="AC18" i="35"/>
  <c r="AC63" i="35"/>
  <c r="AC71" i="35"/>
  <c r="AC70" i="35"/>
  <c r="AC60" i="35"/>
  <c r="AD16" i="44" l="1"/>
  <c r="AD72" i="44"/>
  <c r="AD26" i="44"/>
  <c r="AD34" i="44"/>
  <c r="AD16" i="35"/>
  <c r="AD44" i="35"/>
  <c r="AD46" i="35"/>
  <c r="AD44" i="44"/>
  <c r="AD46" i="44"/>
  <c r="AG73" i="49"/>
  <c r="AH59" i="49"/>
  <c r="AI39" i="49"/>
  <c r="AH86" i="49"/>
  <c r="AH61" i="49"/>
  <c r="AH70" i="49"/>
  <c r="AH85" i="49"/>
  <c r="AH71" i="49"/>
  <c r="AF65" i="48"/>
  <c r="AE63" i="46"/>
  <c r="AD62" i="44"/>
  <c r="AD69" i="44"/>
  <c r="AD70" i="44"/>
  <c r="AE13" i="44"/>
  <c r="AE75" i="44" s="1"/>
  <c r="AD59" i="44"/>
  <c r="AD18" i="44"/>
  <c r="AG61" i="48"/>
  <c r="AG85" i="48"/>
  <c r="AG74" i="48"/>
  <c r="AG75" i="48"/>
  <c r="AH37" i="48"/>
  <c r="AG77" i="48"/>
  <c r="AG63" i="48"/>
  <c r="AG64" i="48" s="1"/>
  <c r="AG86" i="45"/>
  <c r="AG72" i="45"/>
  <c r="AG60" i="45"/>
  <c r="AG62" i="45"/>
  <c r="AG71" i="45"/>
  <c r="AH39" i="45"/>
  <c r="AG87" i="45"/>
  <c r="AF74" i="45"/>
  <c r="AI83" i="47"/>
  <c r="AI67" i="47"/>
  <c r="AI69" i="47"/>
  <c r="AI70" i="47" s="1"/>
  <c r="AI81" i="47"/>
  <c r="AI80" i="47"/>
  <c r="AJ35" i="47"/>
  <c r="AJ41" i="47"/>
  <c r="AJ43" i="47" s="1"/>
  <c r="AH71" i="47"/>
  <c r="AF83" i="46"/>
  <c r="AF72" i="46"/>
  <c r="AF61" i="46"/>
  <c r="AF62" i="46" s="1"/>
  <c r="AF73" i="46"/>
  <c r="AF59" i="46"/>
  <c r="AG35" i="46"/>
  <c r="AF75" i="46"/>
  <c r="AD73" i="35"/>
  <c r="AE13" i="35"/>
  <c r="AE76" i="35" s="1"/>
  <c r="AD18" i="35"/>
  <c r="AD63" i="35"/>
  <c r="AD60" i="35"/>
  <c r="AD71" i="35"/>
  <c r="AD70" i="35"/>
  <c r="AE16" i="44" l="1"/>
  <c r="AE72" i="44"/>
  <c r="AE26" i="44"/>
  <c r="AE34" i="44"/>
  <c r="AE16" i="35"/>
  <c r="AE44" i="35"/>
  <c r="AE46" i="35"/>
  <c r="AE46" i="44"/>
  <c r="AE44" i="44"/>
  <c r="AH73" i="49"/>
  <c r="AI86" i="49"/>
  <c r="AI61" i="49"/>
  <c r="AI70" i="49"/>
  <c r="AI59" i="49"/>
  <c r="AJ39" i="49"/>
  <c r="AI71" i="49"/>
  <c r="AI85" i="49"/>
  <c r="AI71" i="47"/>
  <c r="AF63" i="46"/>
  <c r="AH61" i="48"/>
  <c r="AH85" i="48"/>
  <c r="AH74" i="48"/>
  <c r="AI37" i="48"/>
  <c r="AH63" i="48"/>
  <c r="AH64" i="48" s="1"/>
  <c r="AH77" i="48"/>
  <c r="AH75" i="48"/>
  <c r="AG61" i="46"/>
  <c r="AG62" i="46" s="1"/>
  <c r="AG73" i="46"/>
  <c r="AG75" i="46"/>
  <c r="AG83" i="46"/>
  <c r="AG59" i="46"/>
  <c r="AH35" i="46"/>
  <c r="AG72" i="46"/>
  <c r="AJ80" i="47"/>
  <c r="AJ81" i="47"/>
  <c r="AJ83" i="47"/>
  <c r="AJ67" i="47"/>
  <c r="AK41" i="47"/>
  <c r="AK43" i="47" s="1"/>
  <c r="AJ69" i="47"/>
  <c r="AJ70" i="47" s="1"/>
  <c r="AK35" i="47"/>
  <c r="AH86" i="45"/>
  <c r="AH72" i="45"/>
  <c r="AH60" i="45"/>
  <c r="AH87" i="45"/>
  <c r="AH62" i="45"/>
  <c r="AH71" i="45"/>
  <c r="AI39" i="45"/>
  <c r="AG65" i="48"/>
  <c r="AE70" i="44"/>
  <c r="AF13" i="44"/>
  <c r="AF75" i="44" s="1"/>
  <c r="AE62" i="44"/>
  <c r="AE59" i="44"/>
  <c r="AE18" i="44"/>
  <c r="AE69" i="44"/>
  <c r="AG74" i="45"/>
  <c r="AE73" i="35"/>
  <c r="AE18" i="35"/>
  <c r="AE71" i="35"/>
  <c r="AE70" i="35"/>
  <c r="AE60" i="35"/>
  <c r="AE63" i="35"/>
  <c r="AF13" i="35"/>
  <c r="AF76" i="35" s="1"/>
  <c r="AF16" i="44" l="1"/>
  <c r="AF72" i="44"/>
  <c r="AF26" i="44"/>
  <c r="AF34" i="44"/>
  <c r="AF16" i="35"/>
  <c r="AF44" i="35"/>
  <c r="AF46" i="35"/>
  <c r="AF44" i="44"/>
  <c r="AF46" i="44"/>
  <c r="AI73" i="49"/>
  <c r="AJ70" i="49"/>
  <c r="AJ85" i="49"/>
  <c r="AJ71" i="49"/>
  <c r="AJ59" i="49"/>
  <c r="AJ61" i="49"/>
  <c r="AJ86" i="49"/>
  <c r="AK39" i="49"/>
  <c r="AH65" i="48"/>
  <c r="AG63" i="46"/>
  <c r="AI85" i="48"/>
  <c r="AI74" i="48"/>
  <c r="AI63" i="48"/>
  <c r="AI64" i="48" s="1"/>
  <c r="AI75" i="48"/>
  <c r="AI61" i="48"/>
  <c r="AJ37" i="48"/>
  <c r="AI77" i="48"/>
  <c r="AH74" i="45"/>
  <c r="AJ71" i="47"/>
  <c r="AF69" i="44"/>
  <c r="AF62" i="44"/>
  <c r="AF59" i="44"/>
  <c r="AF70" i="44"/>
  <c r="AG13" i="44"/>
  <c r="AG75" i="44" s="1"/>
  <c r="AF18" i="44"/>
  <c r="AI60" i="45"/>
  <c r="AI87" i="45"/>
  <c r="AI62" i="45"/>
  <c r="AJ39" i="45"/>
  <c r="AI86" i="45"/>
  <c r="AI71" i="45"/>
  <c r="AI72" i="45"/>
  <c r="AK67" i="47"/>
  <c r="AK69" i="47"/>
  <c r="AK70" i="47" s="1"/>
  <c r="AK83" i="47"/>
  <c r="AK80" i="47"/>
  <c r="AK81" i="47"/>
  <c r="AH73" i="46"/>
  <c r="AH75" i="46"/>
  <c r="AH83" i="46"/>
  <c r="AH72" i="46"/>
  <c r="AH59" i="46"/>
  <c r="AI35" i="46"/>
  <c r="AH61" i="46"/>
  <c r="AH62" i="46" s="1"/>
  <c r="AF73" i="35"/>
  <c r="AF71" i="35"/>
  <c r="AF63" i="35"/>
  <c r="AG13" i="35"/>
  <c r="AG76" i="35" s="1"/>
  <c r="AF18" i="35"/>
  <c r="AF70" i="35"/>
  <c r="AF60" i="35"/>
  <c r="AG16" i="44" l="1"/>
  <c r="AG72" i="44"/>
  <c r="AG26" i="44"/>
  <c r="AG34" i="44"/>
  <c r="AG16" i="35"/>
  <c r="AG44" i="35"/>
  <c r="AG46" i="35"/>
  <c r="AG44" i="44"/>
  <c r="AG46" i="44"/>
  <c r="AJ73" i="49"/>
  <c r="AK70" i="49"/>
  <c r="AK85" i="49"/>
  <c r="AK71" i="49"/>
  <c r="AK59" i="49"/>
  <c r="AK86" i="49"/>
  <c r="AK61" i="49"/>
  <c r="AI65" i="48"/>
  <c r="AK71" i="47"/>
  <c r="AI74" i="45"/>
  <c r="AJ63" i="48"/>
  <c r="AJ64" i="48" s="1"/>
  <c r="AJ75" i="48"/>
  <c r="AJ77" i="48"/>
  <c r="AJ61" i="48"/>
  <c r="AJ85" i="48"/>
  <c r="AJ74" i="48"/>
  <c r="AK37" i="48"/>
  <c r="AI75" i="46"/>
  <c r="AI83" i="46"/>
  <c r="AI72" i="46"/>
  <c r="AI59" i="46"/>
  <c r="AJ35" i="46"/>
  <c r="AI61" i="46"/>
  <c r="AI62" i="46" s="1"/>
  <c r="AI73" i="46"/>
  <c r="AH63" i="46"/>
  <c r="AG69" i="44"/>
  <c r="AG70" i="44"/>
  <c r="AG62" i="44"/>
  <c r="AG59" i="44"/>
  <c r="AG18" i="44"/>
  <c r="AH13" i="44"/>
  <c r="AH75" i="44" s="1"/>
  <c r="AJ87" i="45"/>
  <c r="AJ62" i="45"/>
  <c r="AJ71" i="45"/>
  <c r="AJ86" i="45"/>
  <c r="AK39" i="45"/>
  <c r="AJ60" i="45"/>
  <c r="AJ72" i="45"/>
  <c r="AG73" i="35"/>
  <c r="AG18" i="35"/>
  <c r="AG60" i="35"/>
  <c r="AH13" i="35"/>
  <c r="AH76" i="35" s="1"/>
  <c r="AG71" i="35"/>
  <c r="AG63" i="35"/>
  <c r="AG70" i="35"/>
  <c r="AH16" i="44" l="1"/>
  <c r="AH72" i="44"/>
  <c r="AH26" i="44"/>
  <c r="AH34" i="44"/>
  <c r="AH16" i="35"/>
  <c r="AH44" i="35"/>
  <c r="AH46" i="35"/>
  <c r="AH44" i="44"/>
  <c r="AH46" i="44"/>
  <c r="AK73" i="49"/>
  <c r="AK86" i="45"/>
  <c r="AK87" i="45"/>
  <c r="AK62" i="45"/>
  <c r="AK72" i="45"/>
  <c r="AK60" i="45"/>
  <c r="AK71" i="45"/>
  <c r="AH69" i="44"/>
  <c r="AH70" i="44"/>
  <c r="AH18" i="44"/>
  <c r="AH59" i="44"/>
  <c r="AH62" i="44"/>
  <c r="AI13" i="44"/>
  <c r="AI75" i="44" s="1"/>
  <c r="AK75" i="48"/>
  <c r="AK77" i="48"/>
  <c r="AK61" i="48"/>
  <c r="AK85" i="48"/>
  <c r="AK74" i="48"/>
  <c r="AK63" i="48"/>
  <c r="AK64" i="48" s="1"/>
  <c r="AJ83" i="46"/>
  <c r="AJ72" i="46"/>
  <c r="AJ59" i="46"/>
  <c r="AK35" i="46"/>
  <c r="AJ75" i="46"/>
  <c r="AJ61" i="46"/>
  <c r="AJ62" i="46" s="1"/>
  <c r="AJ73" i="46"/>
  <c r="AI63" i="46"/>
  <c r="AJ65" i="48"/>
  <c r="AJ74" i="45"/>
  <c r="AH73" i="35"/>
  <c r="AH60" i="35"/>
  <c r="AI13" i="35"/>
  <c r="AI76" i="35" s="1"/>
  <c r="AH63" i="35"/>
  <c r="AH70" i="35"/>
  <c r="AH71" i="35"/>
  <c r="AH18" i="35"/>
  <c r="AI16" i="44" l="1"/>
  <c r="AI72" i="44"/>
  <c r="AI26" i="44"/>
  <c r="AI34" i="44"/>
  <c r="AI16" i="35"/>
  <c r="AI46" i="35"/>
  <c r="AI44" i="35"/>
  <c r="AI44" i="44"/>
  <c r="AI46" i="44"/>
  <c r="AK65" i="48"/>
  <c r="AJ63" i="46"/>
  <c r="AK74" i="45"/>
  <c r="AK61" i="46"/>
  <c r="AK62" i="46" s="1"/>
  <c r="AK83" i="46"/>
  <c r="AK72" i="46"/>
  <c r="AK75" i="46"/>
  <c r="AK73" i="46"/>
  <c r="AK59" i="46"/>
  <c r="AI70" i="44"/>
  <c r="AI59" i="44"/>
  <c r="AI18" i="44"/>
  <c r="AJ13" i="44"/>
  <c r="AJ75" i="44" s="1"/>
  <c r="AI69" i="44"/>
  <c r="AI62" i="44"/>
  <c r="AI73" i="35"/>
  <c r="AJ13" i="35"/>
  <c r="AJ76" i="35" s="1"/>
  <c r="AI63" i="35"/>
  <c r="AI70" i="35"/>
  <c r="AI71" i="35"/>
  <c r="AI18" i="35"/>
  <c r="AI60" i="35"/>
  <c r="AJ16" i="44" l="1"/>
  <c r="AJ72" i="44"/>
  <c r="AJ26" i="44"/>
  <c r="AJ34" i="44"/>
  <c r="AJ16" i="35"/>
  <c r="AJ44" i="35"/>
  <c r="AJ46" i="35"/>
  <c r="AJ44" i="44"/>
  <c r="AJ46" i="44"/>
  <c r="AJ62" i="44"/>
  <c r="AJ42" i="44"/>
  <c r="AJ43" i="44" s="1"/>
  <c r="AJ70" i="44"/>
  <c r="AJ69" i="44"/>
  <c r="AJ18" i="44"/>
  <c r="AJ59" i="44"/>
  <c r="AK63" i="46"/>
  <c r="AJ73" i="35"/>
  <c r="AJ18" i="35"/>
  <c r="AJ63" i="35"/>
  <c r="AJ71" i="35"/>
  <c r="AJ70" i="35"/>
  <c r="AJ60" i="35"/>
  <c r="AJ42" i="35"/>
  <c r="AJ43" i="35" s="1"/>
  <c r="D16" i="44" l="1"/>
  <c r="B35" i="35"/>
  <c r="B36" i="35"/>
  <c r="B37" i="35"/>
  <c r="B33" i="35"/>
  <c r="H29" i="37" l="1"/>
  <c r="H30" i="37"/>
  <c r="H31" i="37"/>
  <c r="H27" i="37"/>
  <c r="R89" i="42"/>
  <c r="Q89" i="42"/>
  <c r="P89" i="42"/>
  <c r="O89" i="42"/>
  <c r="N89" i="42"/>
  <c r="M89" i="42"/>
  <c r="L89" i="42"/>
  <c r="K89" i="42"/>
  <c r="J89" i="42"/>
  <c r="I89" i="42"/>
  <c r="H89" i="42"/>
  <c r="C52" i="42"/>
  <c r="C50" i="42"/>
  <c r="C49" i="42"/>
  <c r="C48" i="42"/>
  <c r="R38" i="42"/>
  <c r="Q38" i="42"/>
  <c r="P38" i="42"/>
  <c r="O38" i="42"/>
  <c r="N38" i="42"/>
  <c r="M38" i="42"/>
  <c r="L38" i="42"/>
  <c r="K38" i="42"/>
  <c r="J38" i="42"/>
  <c r="I38" i="42"/>
  <c r="H38" i="42"/>
  <c r="H37" i="42"/>
  <c r="I37" i="42" s="1"/>
  <c r="H85" i="42" l="1"/>
  <c r="H63" i="42"/>
  <c r="H64" i="42" s="1"/>
  <c r="H74" i="42"/>
  <c r="I74" i="42"/>
  <c r="I63" i="42"/>
  <c r="I64" i="42" s="1"/>
  <c r="J37" i="42"/>
  <c r="I85" i="42"/>
  <c r="J85" i="42" l="1"/>
  <c r="K37" i="42"/>
  <c r="J74" i="42"/>
  <c r="J63" i="42"/>
  <c r="J64" i="42" s="1"/>
  <c r="L37" i="42" l="1"/>
  <c r="K74" i="42"/>
  <c r="K63" i="42"/>
  <c r="K64" i="42" s="1"/>
  <c r="K85" i="42"/>
  <c r="M37" i="42" l="1"/>
  <c r="L74" i="42"/>
  <c r="L63" i="42"/>
  <c r="L64" i="42" s="1"/>
  <c r="L85" i="42"/>
  <c r="M85" i="42" l="1"/>
  <c r="M74" i="42"/>
  <c r="M63" i="42"/>
  <c r="M64" i="42" s="1"/>
  <c r="N37" i="42"/>
  <c r="N74" i="42" l="1"/>
  <c r="N63" i="42"/>
  <c r="N64" i="42" s="1"/>
  <c r="N85" i="42"/>
  <c r="O37" i="42"/>
  <c r="O74" i="42" l="1"/>
  <c r="O85" i="42"/>
  <c r="O63" i="42"/>
  <c r="O64" i="42" s="1"/>
  <c r="P37" i="42"/>
  <c r="P63" i="42" l="1"/>
  <c r="P64" i="42" s="1"/>
  <c r="P74" i="42"/>
  <c r="P85" i="42"/>
  <c r="Q37" i="42"/>
  <c r="Q85" i="42" l="1"/>
  <c r="R37" i="42"/>
  <c r="S37" i="42" s="1"/>
  <c r="T37" i="42" l="1"/>
  <c r="S75" i="42"/>
  <c r="S77" i="42"/>
  <c r="S85" i="42"/>
  <c r="S61" i="42"/>
  <c r="S63" i="42"/>
  <c r="S64" i="42" s="1"/>
  <c r="S74" i="42"/>
  <c r="R85" i="42"/>
  <c r="R77" i="42"/>
  <c r="R75" i="42"/>
  <c r="R74" i="42"/>
  <c r="R63" i="42"/>
  <c r="R64" i="42" s="1"/>
  <c r="S65" i="42" l="1"/>
  <c r="T75" i="42"/>
  <c r="T61" i="42"/>
  <c r="T85" i="42"/>
  <c r="T74" i="42"/>
  <c r="U37" i="42"/>
  <c r="T77" i="42"/>
  <c r="T63" i="42"/>
  <c r="T64" i="42" s="1"/>
  <c r="H35" i="41"/>
  <c r="I36" i="41"/>
  <c r="J36" i="41"/>
  <c r="K36" i="41"/>
  <c r="L36" i="41"/>
  <c r="M36" i="41"/>
  <c r="N36" i="41"/>
  <c r="O36" i="41"/>
  <c r="P36" i="41"/>
  <c r="Q36" i="41"/>
  <c r="R36" i="41"/>
  <c r="H36" i="41"/>
  <c r="H29" i="41"/>
  <c r="H74" i="41" s="1"/>
  <c r="U63" i="42" l="1"/>
  <c r="U64" i="42" s="1"/>
  <c r="V37" i="42"/>
  <c r="U85" i="42"/>
  <c r="U77" i="42"/>
  <c r="U61" i="42"/>
  <c r="U75" i="42"/>
  <c r="U74" i="42"/>
  <c r="T65" i="42"/>
  <c r="I35" i="41"/>
  <c r="I37" i="41" s="1"/>
  <c r="H37" i="41"/>
  <c r="I29" i="41"/>
  <c r="J35" i="41" s="1"/>
  <c r="J37" i="41" s="1"/>
  <c r="H63" i="41"/>
  <c r="H64" i="41" s="1"/>
  <c r="U65" i="42" l="1"/>
  <c r="V74" i="42"/>
  <c r="V61" i="42"/>
  <c r="V85" i="42"/>
  <c r="V63" i="42"/>
  <c r="V64" i="42" s="1"/>
  <c r="V77" i="42"/>
  <c r="V75" i="42"/>
  <c r="W37" i="42"/>
  <c r="I74" i="41"/>
  <c r="I63" i="41"/>
  <c r="I64" i="41" s="1"/>
  <c r="J29" i="41"/>
  <c r="K35" i="41" s="1"/>
  <c r="K37" i="41" s="1"/>
  <c r="V65" i="42" l="1"/>
  <c r="X37" i="42"/>
  <c r="W75" i="42"/>
  <c r="W74" i="42"/>
  <c r="W63" i="42"/>
  <c r="W64" i="42" s="1"/>
  <c r="W61" i="42"/>
  <c r="W85" i="42"/>
  <c r="W77" i="42"/>
  <c r="K29" i="41"/>
  <c r="L35" i="41" s="1"/>
  <c r="L37" i="41" s="1"/>
  <c r="J74" i="41"/>
  <c r="J63" i="41"/>
  <c r="J64" i="41" s="1"/>
  <c r="W65" i="42" l="1"/>
  <c r="X75" i="42"/>
  <c r="X77" i="42"/>
  <c r="X85" i="42"/>
  <c r="Y37" i="42"/>
  <c r="X63" i="42"/>
  <c r="X64" i="42" s="1"/>
  <c r="X61" i="42"/>
  <c r="X74" i="42"/>
  <c r="L29" i="41"/>
  <c r="M35" i="41" s="1"/>
  <c r="M37" i="41" s="1"/>
  <c r="K74" i="41"/>
  <c r="K63" i="41"/>
  <c r="K64" i="41" s="1"/>
  <c r="X65" i="42" l="1"/>
  <c r="Y85" i="42"/>
  <c r="Y75" i="42"/>
  <c r="Y77" i="42"/>
  <c r="Z37" i="42"/>
  <c r="Y63" i="42"/>
  <c r="Y64" i="42" s="1"/>
  <c r="Y74" i="42"/>
  <c r="Y61" i="42"/>
  <c r="M29" i="41"/>
  <c r="N35" i="41" s="1"/>
  <c r="N37" i="41" s="1"/>
  <c r="L74" i="41"/>
  <c r="L63" i="41"/>
  <c r="L64" i="41" s="1"/>
  <c r="Y65" i="42" l="1"/>
  <c r="AA37" i="42"/>
  <c r="Z85" i="42"/>
  <c r="Z75" i="42"/>
  <c r="Z74" i="42"/>
  <c r="Z63" i="42"/>
  <c r="Z64" i="42" s="1"/>
  <c r="Z61" i="42"/>
  <c r="Z77" i="42"/>
  <c r="M74" i="41"/>
  <c r="M63" i="41"/>
  <c r="M64" i="41" s="1"/>
  <c r="N29" i="41"/>
  <c r="O35" i="41" s="1"/>
  <c r="O37" i="41" s="1"/>
  <c r="Z65" i="42" l="1"/>
  <c r="AA61" i="42"/>
  <c r="AA77" i="42"/>
  <c r="AA63" i="42"/>
  <c r="AA64" i="42" s="1"/>
  <c r="AA85" i="42"/>
  <c r="AA75" i="42"/>
  <c r="AB37" i="42"/>
  <c r="AA74" i="42"/>
  <c r="N74" i="41"/>
  <c r="N63" i="41"/>
  <c r="N64" i="41" s="1"/>
  <c r="O29" i="41"/>
  <c r="P35" i="41" s="1"/>
  <c r="P37" i="41" s="1"/>
  <c r="AB85" i="42" l="1"/>
  <c r="AC37" i="42"/>
  <c r="AB63" i="42"/>
  <c r="AB64" i="42" s="1"/>
  <c r="AB77" i="42"/>
  <c r="AB61" i="42"/>
  <c r="AB75" i="42"/>
  <c r="AB74" i="42"/>
  <c r="AA65" i="42"/>
  <c r="O63" i="41"/>
  <c r="O64" i="41" s="1"/>
  <c r="O74" i="41"/>
  <c r="P29" i="41"/>
  <c r="Q35" i="41" s="1"/>
  <c r="Q37" i="41" s="1"/>
  <c r="AB65" i="42" l="1"/>
  <c r="AC85" i="42"/>
  <c r="AC63" i="42"/>
  <c r="AC64" i="42" s="1"/>
  <c r="AC61" i="42"/>
  <c r="AC77" i="42"/>
  <c r="AC75" i="42"/>
  <c r="AD37" i="42"/>
  <c r="AC74" i="42"/>
  <c r="P74" i="41"/>
  <c r="P63" i="41"/>
  <c r="P64" i="41" s="1"/>
  <c r="Q29" i="41"/>
  <c r="R35" i="41" s="1"/>
  <c r="R37" i="41" s="1"/>
  <c r="AC65" i="42" l="1"/>
  <c r="AD77" i="42"/>
  <c r="AD75" i="42"/>
  <c r="AE37" i="42"/>
  <c r="AD74" i="42"/>
  <c r="AD61" i="42"/>
  <c r="AD85" i="42"/>
  <c r="AD63" i="42"/>
  <c r="AD64" i="42" s="1"/>
  <c r="R29" i="41"/>
  <c r="S35" i="41" l="1"/>
  <c r="S37" i="41" s="1"/>
  <c r="S29" i="41"/>
  <c r="AD65" i="42"/>
  <c r="AE61" i="42"/>
  <c r="AE85" i="42"/>
  <c r="AE74" i="42"/>
  <c r="AE75" i="42"/>
  <c r="AF37" i="42"/>
  <c r="AE63" i="42"/>
  <c r="AE64" i="42" s="1"/>
  <c r="AE77" i="42"/>
  <c r="R77" i="41"/>
  <c r="R75" i="41"/>
  <c r="R74" i="41"/>
  <c r="R63" i="41"/>
  <c r="R64" i="41" s="1"/>
  <c r="T29" i="41" l="1"/>
  <c r="S75" i="41"/>
  <c r="T35" i="41"/>
  <c r="T37" i="41" s="1"/>
  <c r="S77" i="41"/>
  <c r="S61" i="41"/>
  <c r="S74" i="41"/>
  <c r="S63" i="41"/>
  <c r="S64" i="41" s="1"/>
  <c r="AF74" i="42"/>
  <c r="AF77" i="42"/>
  <c r="AF63" i="42"/>
  <c r="AF64" i="42" s="1"/>
  <c r="AF85" i="42"/>
  <c r="AF75" i="42"/>
  <c r="AF61" i="42"/>
  <c r="AG37" i="42"/>
  <c r="AE65" i="42"/>
  <c r="R87" i="40"/>
  <c r="Q87" i="40"/>
  <c r="P87" i="40"/>
  <c r="O87" i="40"/>
  <c r="N87" i="40"/>
  <c r="M87" i="40"/>
  <c r="L87" i="40"/>
  <c r="K87" i="40"/>
  <c r="J87" i="40"/>
  <c r="I87" i="40"/>
  <c r="H87" i="40"/>
  <c r="C50" i="40"/>
  <c r="C48" i="40"/>
  <c r="C47" i="40"/>
  <c r="C46" i="40"/>
  <c r="R36" i="40"/>
  <c r="Q36" i="40"/>
  <c r="P36" i="40"/>
  <c r="O36" i="40"/>
  <c r="N36" i="40"/>
  <c r="M36" i="40"/>
  <c r="L36" i="40"/>
  <c r="K36" i="40"/>
  <c r="J36" i="40"/>
  <c r="I36" i="40"/>
  <c r="H36" i="40"/>
  <c r="H35" i="40"/>
  <c r="I35" i="40" s="1"/>
  <c r="S65" i="41" l="1"/>
  <c r="T75" i="41"/>
  <c r="U29" i="41"/>
  <c r="T77" i="41"/>
  <c r="T74" i="41"/>
  <c r="U35" i="41"/>
  <c r="U37" i="41" s="1"/>
  <c r="T61" i="41"/>
  <c r="T63" i="41"/>
  <c r="T64" i="41" s="1"/>
  <c r="AG75" i="42"/>
  <c r="AG63" i="42"/>
  <c r="AG64" i="42" s="1"/>
  <c r="AG74" i="42"/>
  <c r="AH37" i="42"/>
  <c r="AG61" i="42"/>
  <c r="AG85" i="42"/>
  <c r="AG77" i="42"/>
  <c r="AF65" i="42"/>
  <c r="I72" i="40"/>
  <c r="I61" i="40"/>
  <c r="I62" i="40" s="1"/>
  <c r="I83" i="40"/>
  <c r="J35" i="40"/>
  <c r="H83" i="40"/>
  <c r="H61" i="40"/>
  <c r="H62" i="40" s="1"/>
  <c r="H72" i="40"/>
  <c r="T65" i="41" l="1"/>
  <c r="U63" i="41"/>
  <c r="U64" i="41" s="1"/>
  <c r="U77" i="41"/>
  <c r="V29" i="41"/>
  <c r="U61" i="41"/>
  <c r="U74" i="41"/>
  <c r="U75" i="41"/>
  <c r="V35" i="41"/>
  <c r="V37" i="41" s="1"/>
  <c r="AG65" i="42"/>
  <c r="AH63" i="42"/>
  <c r="AH64" i="42" s="1"/>
  <c r="AI37" i="42"/>
  <c r="AH77" i="42"/>
  <c r="AH75" i="42"/>
  <c r="AH61" i="42"/>
  <c r="AH74" i="42"/>
  <c r="AH85" i="42"/>
  <c r="J83" i="40"/>
  <c r="J72" i="40"/>
  <c r="J61" i="40"/>
  <c r="J62" i="40" s="1"/>
  <c r="K35" i="40"/>
  <c r="U65" i="41" l="1"/>
  <c r="V61" i="41"/>
  <c r="V77" i="41"/>
  <c r="V63" i="41"/>
  <c r="V64" i="41" s="1"/>
  <c r="W35" i="41"/>
  <c r="W37" i="41" s="1"/>
  <c r="W29" i="41"/>
  <c r="V74" i="41"/>
  <c r="V75" i="41"/>
  <c r="AH65" i="42"/>
  <c r="AI74" i="42"/>
  <c r="AI63" i="42"/>
  <c r="AI64" i="42" s="1"/>
  <c r="AI77" i="42"/>
  <c r="AI85" i="42"/>
  <c r="AI75" i="42"/>
  <c r="AJ37" i="42"/>
  <c r="AI61" i="42"/>
  <c r="K83" i="40"/>
  <c r="L35" i="40"/>
  <c r="K72" i="40"/>
  <c r="K61" i="40"/>
  <c r="K62" i="40" s="1"/>
  <c r="W61" i="41" l="1"/>
  <c r="X29" i="41"/>
  <c r="W74" i="41"/>
  <c r="W63" i="41"/>
  <c r="W64" i="41" s="1"/>
  <c r="W77" i="41"/>
  <c r="X35" i="41"/>
  <c r="X37" i="41" s="1"/>
  <c r="W75" i="41"/>
  <c r="V65" i="41"/>
  <c r="AI65" i="42"/>
  <c r="AJ63" i="42"/>
  <c r="AJ64" i="42" s="1"/>
  <c r="AJ85" i="42"/>
  <c r="AJ74" i="42"/>
  <c r="AJ77" i="42"/>
  <c r="AJ61" i="42"/>
  <c r="AJ75" i="42"/>
  <c r="AK37" i="42"/>
  <c r="M35" i="40"/>
  <c r="L72" i="40"/>
  <c r="L61" i="40"/>
  <c r="L62" i="40" s="1"/>
  <c r="L83" i="40"/>
  <c r="X61" i="41" l="1"/>
  <c r="X75" i="41"/>
  <c r="Y35" i="41"/>
  <c r="Y37" i="41" s="1"/>
  <c r="Y29" i="41"/>
  <c r="X63" i="41"/>
  <c r="X64" i="41" s="1"/>
  <c r="X74" i="41"/>
  <c r="X77" i="41"/>
  <c r="W65" i="41"/>
  <c r="AJ65" i="42"/>
  <c r="AK61" i="42"/>
  <c r="AK75" i="42"/>
  <c r="AK74" i="42"/>
  <c r="AK85" i="42"/>
  <c r="AK77" i="42"/>
  <c r="AK63" i="42"/>
  <c r="AK64" i="42" s="1"/>
  <c r="N35" i="40"/>
  <c r="M72" i="40"/>
  <c r="M61" i="40"/>
  <c r="M62" i="40" s="1"/>
  <c r="M83" i="40"/>
  <c r="Z29" i="41" l="1"/>
  <c r="Y77" i="41"/>
  <c r="Y74" i="41"/>
  <c r="Y75" i="41"/>
  <c r="Z35" i="41"/>
  <c r="Z37" i="41" s="1"/>
  <c r="Y61" i="41"/>
  <c r="Y63" i="41"/>
  <c r="Y64" i="41" s="1"/>
  <c r="X65" i="41"/>
  <c r="AK65" i="42"/>
  <c r="O35" i="40"/>
  <c r="N72" i="40"/>
  <c r="N61" i="40"/>
  <c r="N62" i="40" s="1"/>
  <c r="N83" i="40"/>
  <c r="Y65" i="41" l="1"/>
  <c r="AA29" i="41"/>
  <c r="Z77" i="41"/>
  <c r="Z74" i="41"/>
  <c r="Z61" i="41"/>
  <c r="Z75" i="41"/>
  <c r="Z63" i="41"/>
  <c r="Z64" i="41" s="1"/>
  <c r="AA35" i="41"/>
  <c r="AA37" i="41" s="1"/>
  <c r="P35" i="40"/>
  <c r="O72" i="40"/>
  <c r="O61" i="40"/>
  <c r="O62" i="40" s="1"/>
  <c r="O83" i="40"/>
  <c r="AA74" i="41" l="1"/>
  <c r="AB35" i="41"/>
  <c r="AB37" i="41" s="1"/>
  <c r="AA61" i="41"/>
  <c r="AA75" i="41"/>
  <c r="AA77" i="41"/>
  <c r="AA63" i="41"/>
  <c r="AA64" i="41" s="1"/>
  <c r="AB29" i="41"/>
  <c r="Z65" i="41"/>
  <c r="Q35" i="40"/>
  <c r="P72" i="40"/>
  <c r="P61" i="40"/>
  <c r="P62" i="40" s="1"/>
  <c r="P83" i="40"/>
  <c r="AB61" i="41" l="1"/>
  <c r="AB75" i="41"/>
  <c r="AB77" i="41"/>
  <c r="AC35" i="41"/>
  <c r="AC37" i="41" s="1"/>
  <c r="AB74" i="41"/>
  <c r="AB63" i="41"/>
  <c r="AB64" i="41" s="1"/>
  <c r="AC29" i="41"/>
  <c r="AA65" i="41"/>
  <c r="Q83" i="40"/>
  <c r="R35" i="40"/>
  <c r="AD35" i="41" l="1"/>
  <c r="AD37" i="41" s="1"/>
  <c r="AC61" i="41"/>
  <c r="AC77" i="41"/>
  <c r="AC63" i="41"/>
  <c r="AC64" i="41" s="1"/>
  <c r="AD29" i="41"/>
  <c r="AC75" i="41"/>
  <c r="AC74" i="41"/>
  <c r="AB65" i="41"/>
  <c r="R73" i="40"/>
  <c r="S35" i="40"/>
  <c r="R83" i="40"/>
  <c r="R75" i="40"/>
  <c r="R61" i="40"/>
  <c r="R62" i="40" s="1"/>
  <c r="R72" i="40"/>
  <c r="AC65" i="41" l="1"/>
  <c r="AD75" i="41"/>
  <c r="AD63" i="41"/>
  <c r="AD64" i="41" s="1"/>
  <c r="AD61" i="41"/>
  <c r="AE35" i="41"/>
  <c r="AE37" i="41" s="1"/>
  <c r="AD74" i="41"/>
  <c r="AD77" i="41"/>
  <c r="AE29" i="41"/>
  <c r="T35" i="40"/>
  <c r="S61" i="40"/>
  <c r="S62" i="40" s="1"/>
  <c r="S83" i="40"/>
  <c r="S75" i="40"/>
  <c r="S72" i="40"/>
  <c r="S73" i="40"/>
  <c r="S59" i="40"/>
  <c r="B80" i="39"/>
  <c r="B78" i="39"/>
  <c r="B77" i="39"/>
  <c r="B76" i="39"/>
  <c r="R40" i="39"/>
  <c r="Q40" i="39"/>
  <c r="P40" i="39"/>
  <c r="O40" i="39"/>
  <c r="N40" i="39"/>
  <c r="M40" i="39"/>
  <c r="L40" i="39"/>
  <c r="K40" i="39"/>
  <c r="J40" i="39"/>
  <c r="I40" i="39"/>
  <c r="H40" i="39"/>
  <c r="H39" i="39"/>
  <c r="G32" i="39"/>
  <c r="G35" i="39" s="1"/>
  <c r="AD65" i="41" l="1"/>
  <c r="AE61" i="41"/>
  <c r="AE74" i="41"/>
  <c r="AE75" i="41"/>
  <c r="AE63" i="41"/>
  <c r="AE64" i="41" s="1"/>
  <c r="AF35" i="41"/>
  <c r="AF37" i="41" s="1"/>
  <c r="AF29" i="41"/>
  <c r="AE77" i="41"/>
  <c r="S63" i="40"/>
  <c r="U35" i="40"/>
  <c r="T59" i="40"/>
  <c r="T75" i="40"/>
  <c r="T61" i="40"/>
  <c r="T62" i="40" s="1"/>
  <c r="T83" i="40"/>
  <c r="T72" i="40"/>
  <c r="T73" i="40"/>
  <c r="G34" i="39"/>
  <c r="G36" i="39"/>
  <c r="H32" i="39"/>
  <c r="H71" i="39"/>
  <c r="H60" i="39"/>
  <c r="I39" i="39"/>
  <c r="AF75" i="41" l="1"/>
  <c r="AG35" i="41"/>
  <c r="AG37" i="41" s="1"/>
  <c r="AF61" i="41"/>
  <c r="AF63" i="41"/>
  <c r="AF64" i="41" s="1"/>
  <c r="AF77" i="41"/>
  <c r="AF74" i="41"/>
  <c r="AG29" i="41"/>
  <c r="AE65" i="41"/>
  <c r="T63" i="40"/>
  <c r="U59" i="40"/>
  <c r="U61" i="40"/>
  <c r="U62" i="40" s="1"/>
  <c r="V35" i="40"/>
  <c r="U72" i="40"/>
  <c r="U73" i="40"/>
  <c r="U75" i="40"/>
  <c r="U83" i="40"/>
  <c r="G37" i="39"/>
  <c r="I60" i="39"/>
  <c r="I71" i="39"/>
  <c r="J39" i="39"/>
  <c r="I32" i="39"/>
  <c r="H34" i="39"/>
  <c r="H35" i="39"/>
  <c r="H36" i="39"/>
  <c r="AG61" i="41" l="1"/>
  <c r="AG63" i="41"/>
  <c r="AG64" i="41" s="1"/>
  <c r="AG74" i="41"/>
  <c r="AG77" i="41"/>
  <c r="AH29" i="41"/>
  <c r="AG75" i="41"/>
  <c r="AH35" i="41"/>
  <c r="AH37" i="41" s="1"/>
  <c r="AF65" i="41"/>
  <c r="U63" i="40"/>
  <c r="V59" i="40"/>
  <c r="V61" i="40"/>
  <c r="V62" i="40" s="1"/>
  <c r="V72" i="40"/>
  <c r="V73" i="40"/>
  <c r="V75" i="40"/>
  <c r="V83" i="40"/>
  <c r="W35" i="40"/>
  <c r="J71" i="39"/>
  <c r="K39" i="39"/>
  <c r="J60" i="39"/>
  <c r="H37" i="39"/>
  <c r="J32" i="39"/>
  <c r="I35" i="39"/>
  <c r="I36" i="39"/>
  <c r="I34" i="39"/>
  <c r="AI29" i="41" l="1"/>
  <c r="AI35" i="41"/>
  <c r="AI37" i="41" s="1"/>
  <c r="AH77" i="41"/>
  <c r="AH74" i="41"/>
  <c r="AH75" i="41"/>
  <c r="AH61" i="41"/>
  <c r="AH63" i="41"/>
  <c r="AH64" i="41" s="1"/>
  <c r="AG65" i="41"/>
  <c r="V63" i="40"/>
  <c r="W73" i="40"/>
  <c r="W75" i="40"/>
  <c r="W83" i="40"/>
  <c r="X35" i="40"/>
  <c r="W61" i="40"/>
  <c r="W62" i="40" s="1"/>
  <c r="W72" i="40"/>
  <c r="W59" i="40"/>
  <c r="K32" i="39"/>
  <c r="J35" i="39"/>
  <c r="J36" i="39"/>
  <c r="J34" i="39"/>
  <c r="K71" i="39"/>
  <c r="L39" i="39"/>
  <c r="K60" i="39"/>
  <c r="I37" i="39"/>
  <c r="AH65" i="41" l="1"/>
  <c r="AI63" i="41"/>
  <c r="AI64" i="41" s="1"/>
  <c r="AJ29" i="41"/>
  <c r="AI74" i="41"/>
  <c r="AI77" i="41"/>
  <c r="AJ35" i="41"/>
  <c r="AJ37" i="41" s="1"/>
  <c r="AI61" i="41"/>
  <c r="AI75" i="41"/>
  <c r="W63" i="40"/>
  <c r="X73" i="40"/>
  <c r="X75" i="40"/>
  <c r="X59" i="40"/>
  <c r="X83" i="40"/>
  <c r="Y35" i="40"/>
  <c r="X72" i="40"/>
  <c r="X61" i="40"/>
  <c r="X62" i="40" s="1"/>
  <c r="L71" i="39"/>
  <c r="L60" i="39"/>
  <c r="M39" i="39"/>
  <c r="J37" i="39"/>
  <c r="K35" i="39"/>
  <c r="K34" i="39"/>
  <c r="L32" i="39"/>
  <c r="K36" i="39"/>
  <c r="AI65" i="41" l="1"/>
  <c r="AK35" i="41"/>
  <c r="AK37" i="41" s="1"/>
  <c r="AJ77" i="41"/>
  <c r="AJ74" i="41"/>
  <c r="AJ63" i="41"/>
  <c r="AJ64" i="41" s="1"/>
  <c r="AK29" i="41"/>
  <c r="AJ61" i="41"/>
  <c r="AJ75" i="41"/>
  <c r="Y72" i="40"/>
  <c r="Y83" i="40"/>
  <c r="Y73" i="40"/>
  <c r="Y75" i="40"/>
  <c r="Y61" i="40"/>
  <c r="Y62" i="40" s="1"/>
  <c r="Z35" i="40"/>
  <c r="Y59" i="40"/>
  <c r="X63" i="40"/>
  <c r="L35" i="39"/>
  <c r="M32" i="39"/>
  <c r="L36" i="39"/>
  <c r="L34" i="39"/>
  <c r="K37" i="39"/>
  <c r="N39" i="39"/>
  <c r="M60" i="39"/>
  <c r="M71" i="39"/>
  <c r="AJ65" i="41" l="1"/>
  <c r="AK61" i="41"/>
  <c r="AK77" i="41"/>
  <c r="AK63" i="41"/>
  <c r="AK64" i="41" s="1"/>
  <c r="AK74" i="41"/>
  <c r="AK75" i="41"/>
  <c r="Y63" i="40"/>
  <c r="Z61" i="40"/>
  <c r="Z62" i="40" s="1"/>
  <c r="Z73" i="40"/>
  <c r="Z75" i="40"/>
  <c r="Z59" i="40"/>
  <c r="AA35" i="40"/>
  <c r="Z83" i="40"/>
  <c r="Z72" i="40"/>
  <c r="M36" i="39"/>
  <c r="M34" i="39"/>
  <c r="N32" i="39"/>
  <c r="M35" i="39"/>
  <c r="O39" i="39"/>
  <c r="N60" i="39"/>
  <c r="N71" i="39"/>
  <c r="L37" i="39"/>
  <c r="AK65" i="41" l="1"/>
  <c r="AA61" i="40"/>
  <c r="AA62" i="40" s="1"/>
  <c r="AA73" i="40"/>
  <c r="AA75" i="40"/>
  <c r="AA72" i="40"/>
  <c r="AA83" i="40"/>
  <c r="AB35" i="40"/>
  <c r="AA59" i="40"/>
  <c r="Z63" i="40"/>
  <c r="N36" i="39"/>
  <c r="N34" i="39"/>
  <c r="O32" i="39"/>
  <c r="N35" i="39"/>
  <c r="M37" i="39"/>
  <c r="P39" i="39"/>
  <c r="O60" i="39"/>
  <c r="O71" i="39"/>
  <c r="AA63" i="40" l="1"/>
  <c r="AB73" i="40"/>
  <c r="AB72" i="40"/>
  <c r="AB75" i="40"/>
  <c r="AB59" i="40"/>
  <c r="AB61" i="40"/>
  <c r="AB62" i="40" s="1"/>
  <c r="AC35" i="40"/>
  <c r="AB83" i="40"/>
  <c r="N37" i="39"/>
  <c r="P60" i="39"/>
  <c r="P71" i="39"/>
  <c r="Q39" i="39"/>
  <c r="O36" i="39"/>
  <c r="P32" i="39"/>
  <c r="O35" i="39"/>
  <c r="O34" i="39"/>
  <c r="AB63" i="40" l="1"/>
  <c r="AC73" i="40"/>
  <c r="AC75" i="40"/>
  <c r="AC83" i="40"/>
  <c r="AC72" i="40"/>
  <c r="AD35" i="40"/>
  <c r="AC59" i="40"/>
  <c r="AC61" i="40"/>
  <c r="AC62" i="40" s="1"/>
  <c r="Q32" i="39"/>
  <c r="P35" i="39"/>
  <c r="P36" i="39"/>
  <c r="P34" i="39"/>
  <c r="O37" i="39"/>
  <c r="R39" i="39"/>
  <c r="S39" i="39" s="1"/>
  <c r="T39" i="39" l="1"/>
  <c r="S71" i="39"/>
  <c r="S86" i="39"/>
  <c r="S87" i="39"/>
  <c r="S62" i="39"/>
  <c r="S72" i="39"/>
  <c r="S60" i="39"/>
  <c r="AD73" i="40"/>
  <c r="AD72" i="40"/>
  <c r="AD75" i="40"/>
  <c r="AD61" i="40"/>
  <c r="AD62" i="40" s="1"/>
  <c r="AD83" i="40"/>
  <c r="AE35" i="40"/>
  <c r="AD59" i="40"/>
  <c r="AC63" i="40"/>
  <c r="P37" i="39"/>
  <c r="R32" i="39"/>
  <c r="Q35" i="39"/>
  <c r="Q34" i="39"/>
  <c r="Q36" i="39"/>
  <c r="R71" i="39"/>
  <c r="R87" i="39"/>
  <c r="R62" i="39"/>
  <c r="R86" i="39"/>
  <c r="R72" i="39"/>
  <c r="R60" i="39"/>
  <c r="S74" i="39" l="1"/>
  <c r="T87" i="39"/>
  <c r="T60" i="39"/>
  <c r="T86" i="39"/>
  <c r="T62" i="39"/>
  <c r="T72" i="39"/>
  <c r="U39" i="39"/>
  <c r="T71" i="39"/>
  <c r="AD63" i="40"/>
  <c r="AE61" i="40"/>
  <c r="AE62" i="40" s="1"/>
  <c r="AE72" i="40"/>
  <c r="AE59" i="40"/>
  <c r="AE73" i="40"/>
  <c r="AE75" i="40"/>
  <c r="AE83" i="40"/>
  <c r="AF35" i="40"/>
  <c r="Q37" i="39"/>
  <c r="R74" i="39"/>
  <c r="R35" i="39"/>
  <c r="H46" i="39" s="1"/>
  <c r="R36" i="39"/>
  <c r="H47" i="39" s="1"/>
  <c r="R34" i="39"/>
  <c r="T74" i="39" l="1"/>
  <c r="V39" i="39"/>
  <c r="U62" i="39"/>
  <c r="U86" i="39"/>
  <c r="U87" i="39"/>
  <c r="U71" i="39"/>
  <c r="U60" i="39"/>
  <c r="U72" i="39"/>
  <c r="AE63" i="40"/>
  <c r="AF59" i="40"/>
  <c r="AF61" i="40"/>
  <c r="AF62" i="40" s="1"/>
  <c r="AF72" i="40"/>
  <c r="AF83" i="40"/>
  <c r="AF73" i="40"/>
  <c r="AF75" i="40"/>
  <c r="AG35" i="40"/>
  <c r="R37" i="39"/>
  <c r="H45" i="39"/>
  <c r="U74" i="39" l="1"/>
  <c r="V87" i="39"/>
  <c r="V86" i="39"/>
  <c r="W39" i="39"/>
  <c r="V71" i="39"/>
  <c r="V62" i="39"/>
  <c r="V60" i="39"/>
  <c r="V72" i="39"/>
  <c r="AF63" i="40"/>
  <c r="AG59" i="40"/>
  <c r="AG73" i="40"/>
  <c r="AG61" i="40"/>
  <c r="AG62" i="40" s="1"/>
  <c r="AG72" i="40"/>
  <c r="AH35" i="40"/>
  <c r="AG75" i="40"/>
  <c r="AG83" i="40"/>
  <c r="H52" i="39"/>
  <c r="W60" i="39" l="1"/>
  <c r="W86" i="39"/>
  <c r="X39" i="39"/>
  <c r="W72" i="39"/>
  <c r="W71" i="39"/>
  <c r="W62" i="39"/>
  <c r="W74" i="39" s="1"/>
  <c r="W87" i="39"/>
  <c r="V74" i="39"/>
  <c r="AG63" i="40"/>
  <c r="AH61" i="40"/>
  <c r="AH62" i="40" s="1"/>
  <c r="AH73" i="40"/>
  <c r="AH72" i="40"/>
  <c r="AH83" i="40"/>
  <c r="AI35" i="40"/>
  <c r="AH75" i="40"/>
  <c r="AH59" i="40"/>
  <c r="Y39" i="39" l="1"/>
  <c r="X87" i="39"/>
  <c r="X71" i="39"/>
  <c r="X60" i="39"/>
  <c r="X62" i="39"/>
  <c r="X86" i="39"/>
  <c r="X72" i="39"/>
  <c r="AH63" i="40"/>
  <c r="AJ35" i="40"/>
  <c r="AI72" i="40"/>
  <c r="AI61" i="40"/>
  <c r="AI62" i="40" s="1"/>
  <c r="AI59" i="40"/>
  <c r="AI73" i="40"/>
  <c r="AI75" i="40"/>
  <c r="AI83" i="40"/>
  <c r="D22" i="37"/>
  <c r="X22" i="37" s="1"/>
  <c r="D21" i="37"/>
  <c r="X21" i="37" s="1"/>
  <c r="D23" i="37"/>
  <c r="K19" i="57" l="1"/>
  <c r="D14" i="37"/>
  <c r="J16" i="56" s="1"/>
  <c r="E18" i="57"/>
  <c r="F18" i="57"/>
  <c r="J18" i="57"/>
  <c r="X74" i="39"/>
  <c r="Y71" i="39"/>
  <c r="Y60" i="39"/>
  <c r="Z39" i="39"/>
  <c r="Y86" i="39"/>
  <c r="Y62" i="39"/>
  <c r="Y87" i="39"/>
  <c r="Y72" i="39"/>
  <c r="AE38" i="47"/>
  <c r="D15" i="37"/>
  <c r="J17" i="56" s="1"/>
  <c r="D57" i="37"/>
  <c r="H60" i="37"/>
  <c r="D60" i="37"/>
  <c r="D61" i="37"/>
  <c r="H61" i="37"/>
  <c r="G15" i="45"/>
  <c r="G12" i="45" s="1"/>
  <c r="E30" i="53" s="1"/>
  <c r="G30" i="53" s="1"/>
  <c r="AJ87" i="48"/>
  <c r="M19" i="48"/>
  <c r="P87" i="48"/>
  <c r="M18" i="48"/>
  <c r="N87" i="48"/>
  <c r="K87" i="48"/>
  <c r="AH87" i="48"/>
  <c r="AK87" i="48"/>
  <c r="H59" i="48"/>
  <c r="R87" i="48"/>
  <c r="H87" i="48"/>
  <c r="AC87" i="48"/>
  <c r="Z87" i="48"/>
  <c r="AG87" i="48"/>
  <c r="V87" i="48"/>
  <c r="S87" i="48"/>
  <c r="M17" i="48"/>
  <c r="AE87" i="48"/>
  <c r="U87" i="48"/>
  <c r="J87" i="48"/>
  <c r="Q87" i="48"/>
  <c r="AB87" i="48"/>
  <c r="W87" i="48"/>
  <c r="M87" i="48"/>
  <c r="Y87" i="48"/>
  <c r="M12" i="48"/>
  <c r="M20" i="48" s="1"/>
  <c r="AF87" i="48"/>
  <c r="AA87" i="48"/>
  <c r="T87" i="48"/>
  <c r="O87" i="48"/>
  <c r="AI87" i="48"/>
  <c r="I87" i="48"/>
  <c r="L87" i="48"/>
  <c r="AD87" i="48"/>
  <c r="X87" i="48"/>
  <c r="AI63" i="40"/>
  <c r="AJ72" i="40"/>
  <c r="AJ59" i="40"/>
  <c r="AJ83" i="40"/>
  <c r="AJ61" i="40"/>
  <c r="AJ62" i="40" s="1"/>
  <c r="AJ73" i="40"/>
  <c r="AJ75" i="40"/>
  <c r="AK35" i="40"/>
  <c r="H38" i="37"/>
  <c r="G6" i="41"/>
  <c r="G9" i="41" s="1"/>
  <c r="D38" i="37"/>
  <c r="G12" i="40"/>
  <c r="D36" i="37"/>
  <c r="H36" i="37"/>
  <c r="G12" i="42"/>
  <c r="G14" i="42" s="1"/>
  <c r="D37" i="37"/>
  <c r="H37" i="37"/>
  <c r="D14" i="57" l="1"/>
  <c r="D34" i="57"/>
  <c r="J28" i="57"/>
  <c r="J34" i="57"/>
  <c r="G14" i="57"/>
  <c r="G34" i="57" s="1"/>
  <c r="F28" i="57"/>
  <c r="F34" i="57"/>
  <c r="K18" i="57"/>
  <c r="E34" i="57"/>
  <c r="E28" i="57"/>
  <c r="Y74" i="39"/>
  <c r="J43" i="28"/>
  <c r="L43" i="28"/>
  <c r="K43" i="28"/>
  <c r="F90" i="28"/>
  <c r="N51" i="48"/>
  <c r="O51" i="48"/>
  <c r="H51" i="48"/>
  <c r="P51" i="48"/>
  <c r="X51" i="48"/>
  <c r="AF51" i="48"/>
  <c r="AJ51" i="48"/>
  <c r="AK51" i="48"/>
  <c r="V51" i="48"/>
  <c r="I51" i="48"/>
  <c r="Q51" i="48"/>
  <c r="Y51" i="48"/>
  <c r="AG51" i="48"/>
  <c r="S51" i="48"/>
  <c r="AI51" i="48"/>
  <c r="T51" i="48"/>
  <c r="M51" i="48"/>
  <c r="AC51" i="48"/>
  <c r="W51" i="48"/>
  <c r="J51" i="48"/>
  <c r="R51" i="48"/>
  <c r="Z51" i="48"/>
  <c r="AH51" i="48"/>
  <c r="K51" i="48"/>
  <c r="AA51" i="48"/>
  <c r="L51" i="48"/>
  <c r="AB51" i="48"/>
  <c r="U51" i="48"/>
  <c r="AD51" i="48"/>
  <c r="AE51" i="48"/>
  <c r="AA39" i="39"/>
  <c r="Z72" i="39"/>
  <c r="Z71" i="39"/>
  <c r="Z60" i="39"/>
  <c r="Z86" i="39"/>
  <c r="Z62" i="39"/>
  <c r="Z74" i="39" s="1"/>
  <c r="Z87" i="39"/>
  <c r="F89" i="28"/>
  <c r="AG38" i="47"/>
  <c r="AG39" i="47" s="1"/>
  <c r="L38" i="47"/>
  <c r="L40" i="47" s="1"/>
  <c r="L45" i="47" s="1"/>
  <c r="R38" i="47"/>
  <c r="R40" i="47" s="1"/>
  <c r="R45" i="47" s="1"/>
  <c r="I38" i="47"/>
  <c r="I40" i="47" s="1"/>
  <c r="I45" i="47" s="1"/>
  <c r="S38" i="47"/>
  <c r="S40" i="47" s="1"/>
  <c r="S45" i="47" s="1"/>
  <c r="AH38" i="47"/>
  <c r="AH39" i="47" s="1"/>
  <c r="AF38" i="47"/>
  <c r="AF40" i="47" s="1"/>
  <c r="AF45" i="47" s="1"/>
  <c r="AK38" i="47"/>
  <c r="AK40" i="47" s="1"/>
  <c r="AK45" i="47" s="1"/>
  <c r="N38" i="47"/>
  <c r="N40" i="47" s="1"/>
  <c r="N45" i="47" s="1"/>
  <c r="K38" i="47"/>
  <c r="K40" i="47" s="1"/>
  <c r="K45" i="47" s="1"/>
  <c r="AB38" i="47"/>
  <c r="AB40" i="47" s="1"/>
  <c r="AB45" i="47" s="1"/>
  <c r="O38" i="47"/>
  <c r="O39" i="47" s="1"/>
  <c r="X38" i="47"/>
  <c r="X40" i="47" s="1"/>
  <c r="X45" i="47" s="1"/>
  <c r="AJ38" i="47"/>
  <c r="AJ40" i="47" s="1"/>
  <c r="AJ45" i="47" s="1"/>
  <c r="Z38" i="47"/>
  <c r="Z40" i="47" s="1"/>
  <c r="Z45" i="47" s="1"/>
  <c r="AC38" i="47"/>
  <c r="AC40" i="47" s="1"/>
  <c r="AC45" i="47" s="1"/>
  <c r="AA38" i="47"/>
  <c r="AA39" i="47" s="1"/>
  <c r="W38" i="47"/>
  <c r="W39" i="47" s="1"/>
  <c r="V38" i="47"/>
  <c r="V40" i="47" s="1"/>
  <c r="V45" i="47" s="1"/>
  <c r="M38" i="47"/>
  <c r="M39" i="47" s="1"/>
  <c r="H38" i="47"/>
  <c r="H40" i="47" s="1"/>
  <c r="H45" i="47" s="1"/>
  <c r="Y38" i="47"/>
  <c r="Y39" i="47" s="1"/>
  <c r="P38" i="47"/>
  <c r="P40" i="47" s="1"/>
  <c r="P45" i="47" s="1"/>
  <c r="AI38" i="47"/>
  <c r="AI39" i="47" s="1"/>
  <c r="AD38" i="47"/>
  <c r="AD40" i="47" s="1"/>
  <c r="AD45" i="47" s="1"/>
  <c r="J38" i="47"/>
  <c r="J39" i="47" s="1"/>
  <c r="U38" i="47"/>
  <c r="U39" i="47" s="1"/>
  <c r="T38" i="47"/>
  <c r="T40" i="47" s="1"/>
  <c r="T45" i="47" s="1"/>
  <c r="Q38" i="47"/>
  <c r="Q39" i="47" s="1"/>
  <c r="J45" i="45"/>
  <c r="K45" i="45"/>
  <c r="I46" i="45"/>
  <c r="J46" i="45"/>
  <c r="J47" i="45"/>
  <c r="I45" i="45"/>
  <c r="I47" i="45"/>
  <c r="K46" i="45"/>
  <c r="G20" i="45"/>
  <c r="E33" i="53" s="1"/>
  <c r="K47" i="45"/>
  <c r="L46" i="45"/>
  <c r="L47" i="45"/>
  <c r="L45" i="45"/>
  <c r="M47" i="45"/>
  <c r="M45" i="45"/>
  <c r="M46" i="45"/>
  <c r="N46" i="45"/>
  <c r="N47" i="45"/>
  <c r="N45" i="45"/>
  <c r="O46" i="45"/>
  <c r="O45" i="45"/>
  <c r="O47" i="45"/>
  <c r="P45" i="45"/>
  <c r="P46" i="45"/>
  <c r="P47" i="45"/>
  <c r="Q45" i="45"/>
  <c r="Q47" i="45"/>
  <c r="Q46" i="45"/>
  <c r="R47" i="45"/>
  <c r="R46" i="45"/>
  <c r="R45" i="45"/>
  <c r="S46" i="45"/>
  <c r="S47" i="45"/>
  <c r="S45" i="45"/>
  <c r="T47" i="45"/>
  <c r="T45" i="45"/>
  <c r="T46" i="45"/>
  <c r="U46" i="45"/>
  <c r="U47" i="45"/>
  <c r="U45" i="45"/>
  <c r="V46" i="45"/>
  <c r="V47" i="45"/>
  <c r="V45" i="45"/>
  <c r="W46" i="45"/>
  <c r="W47" i="45"/>
  <c r="W45" i="45"/>
  <c r="X47" i="45"/>
  <c r="X45" i="45"/>
  <c r="X46" i="45"/>
  <c r="Y46" i="45"/>
  <c r="Y45" i="45"/>
  <c r="Y47" i="45"/>
  <c r="Z45" i="45"/>
  <c r="Z46" i="45"/>
  <c r="Z47" i="45"/>
  <c r="AA45" i="45"/>
  <c r="AA47" i="45"/>
  <c r="AA46" i="45"/>
  <c r="AB46" i="45"/>
  <c r="AB47" i="45"/>
  <c r="AB45" i="45"/>
  <c r="AC45" i="45"/>
  <c r="AC47" i="45"/>
  <c r="AC46" i="45"/>
  <c r="AD46" i="45"/>
  <c r="AD47" i="45"/>
  <c r="AD45" i="45"/>
  <c r="AE45" i="45"/>
  <c r="AE47" i="45"/>
  <c r="AE46" i="45"/>
  <c r="AF46" i="45"/>
  <c r="AF47" i="45"/>
  <c r="AF45" i="45"/>
  <c r="AG45" i="45"/>
  <c r="AG46" i="45"/>
  <c r="AG47" i="45"/>
  <c r="AH45" i="45"/>
  <c r="AH46" i="45"/>
  <c r="AH47" i="45"/>
  <c r="AI46" i="45"/>
  <c r="AI45" i="45"/>
  <c r="AI47" i="45"/>
  <c r="AJ46" i="45"/>
  <c r="AJ47" i="45"/>
  <c r="AJ45" i="45"/>
  <c r="AK47" i="45"/>
  <c r="AK46" i="45"/>
  <c r="AK45" i="45"/>
  <c r="K49" i="48"/>
  <c r="I49" i="48"/>
  <c r="J49" i="48"/>
  <c r="H49" i="48"/>
  <c r="L49" i="48"/>
  <c r="M49" i="48"/>
  <c r="N49" i="48"/>
  <c r="O49" i="48"/>
  <c r="P49" i="48"/>
  <c r="Q49" i="48"/>
  <c r="R49" i="48"/>
  <c r="S49" i="48"/>
  <c r="T49" i="48"/>
  <c r="U49" i="48"/>
  <c r="V49" i="48"/>
  <c r="W49" i="48"/>
  <c r="X49" i="48"/>
  <c r="Y49" i="48"/>
  <c r="Z49" i="48"/>
  <c r="AA49" i="48"/>
  <c r="AB49" i="48"/>
  <c r="AC49" i="48"/>
  <c r="AD49" i="48"/>
  <c r="AE49" i="48"/>
  <c r="AF49" i="48"/>
  <c r="AG49" i="48"/>
  <c r="AH49" i="48"/>
  <c r="AI49" i="48"/>
  <c r="AJ49" i="48"/>
  <c r="AK49" i="48"/>
  <c r="L42" i="48"/>
  <c r="I42" i="48"/>
  <c r="N12" i="48"/>
  <c r="K42" i="48"/>
  <c r="H42" i="48"/>
  <c r="J42" i="48"/>
  <c r="M21" i="48"/>
  <c r="M22" i="48" s="1"/>
  <c r="M13" i="48"/>
  <c r="M14" i="48" s="1"/>
  <c r="M42" i="48"/>
  <c r="N42" i="48"/>
  <c r="O42" i="48"/>
  <c r="P42" i="48"/>
  <c r="Q42" i="48"/>
  <c r="R42" i="48"/>
  <c r="S42" i="48"/>
  <c r="T42" i="48"/>
  <c r="U42" i="48"/>
  <c r="V42" i="48"/>
  <c r="W42" i="48"/>
  <c r="X42" i="48"/>
  <c r="Y42" i="48"/>
  <c r="Z42" i="48"/>
  <c r="AA42" i="48"/>
  <c r="AB42" i="48"/>
  <c r="AC42" i="48"/>
  <c r="AD42" i="48"/>
  <c r="AE42" i="48"/>
  <c r="AF42" i="48"/>
  <c r="AG42" i="48"/>
  <c r="AH42" i="48"/>
  <c r="AI42" i="48"/>
  <c r="AJ42" i="48"/>
  <c r="AK42" i="48"/>
  <c r="H50" i="48"/>
  <c r="I50" i="48"/>
  <c r="K50" i="48"/>
  <c r="J50" i="48"/>
  <c r="L50" i="48"/>
  <c r="M50" i="48"/>
  <c r="N50" i="48"/>
  <c r="O50" i="48"/>
  <c r="P50" i="48"/>
  <c r="Q50" i="48"/>
  <c r="R50" i="48"/>
  <c r="S50" i="48"/>
  <c r="T50" i="48"/>
  <c r="U50" i="48"/>
  <c r="V50" i="48"/>
  <c r="W50" i="48"/>
  <c r="X50" i="48"/>
  <c r="Y50" i="48"/>
  <c r="Z50" i="48"/>
  <c r="AA50" i="48"/>
  <c r="AB50" i="48"/>
  <c r="AC50" i="48"/>
  <c r="AD50" i="48"/>
  <c r="AE50" i="48"/>
  <c r="AF50" i="48"/>
  <c r="AG50" i="48"/>
  <c r="AH50" i="48"/>
  <c r="AI50" i="48"/>
  <c r="AJ50" i="48"/>
  <c r="AK50" i="48"/>
  <c r="K48" i="48"/>
  <c r="J48" i="48"/>
  <c r="H48" i="48"/>
  <c r="I48" i="48"/>
  <c r="L48" i="48"/>
  <c r="M48" i="48"/>
  <c r="N48" i="48"/>
  <c r="O48" i="48"/>
  <c r="P48" i="48"/>
  <c r="Q48" i="48"/>
  <c r="R48" i="48"/>
  <c r="S48" i="48"/>
  <c r="T48" i="48"/>
  <c r="U48" i="48"/>
  <c r="V48" i="48"/>
  <c r="W48" i="48"/>
  <c r="X48" i="48"/>
  <c r="Y48" i="48"/>
  <c r="Z48" i="48"/>
  <c r="AA48" i="48"/>
  <c r="AB48" i="48"/>
  <c r="AC48" i="48"/>
  <c r="AD48" i="48"/>
  <c r="AE48" i="48"/>
  <c r="AF48" i="48"/>
  <c r="AG48" i="48"/>
  <c r="AH48" i="48"/>
  <c r="AI48" i="48"/>
  <c r="AJ48" i="48"/>
  <c r="AK48" i="48"/>
  <c r="AE40" i="47"/>
  <c r="AE45" i="47" s="1"/>
  <c r="AE39" i="47"/>
  <c r="W32" i="41"/>
  <c r="X32" i="41"/>
  <c r="AF32" i="41"/>
  <c r="Y32" i="41"/>
  <c r="AG32" i="41"/>
  <c r="Z32" i="41"/>
  <c r="AH32" i="41"/>
  <c r="AD32" i="41"/>
  <c r="V32" i="41"/>
  <c r="S32" i="41"/>
  <c r="AA32" i="41"/>
  <c r="AI32" i="41"/>
  <c r="T32" i="41"/>
  <c r="AB32" i="41"/>
  <c r="AJ32" i="41"/>
  <c r="U32" i="41"/>
  <c r="AC32" i="41"/>
  <c r="AK32" i="41"/>
  <c r="AE32" i="41"/>
  <c r="V87" i="42"/>
  <c r="AD87" i="42"/>
  <c r="W87" i="42"/>
  <c r="AE87" i="42"/>
  <c r="X87" i="42"/>
  <c r="AF87" i="42"/>
  <c r="Y87" i="42"/>
  <c r="AG87" i="42"/>
  <c r="Z87" i="42"/>
  <c r="AH87" i="42"/>
  <c r="AK87" i="42"/>
  <c r="S87" i="42"/>
  <c r="AA87" i="42"/>
  <c r="AI87" i="42"/>
  <c r="AC87" i="42"/>
  <c r="T87" i="42"/>
  <c r="AB87" i="42"/>
  <c r="AJ87" i="42"/>
  <c r="U87" i="42"/>
  <c r="AJ63" i="40"/>
  <c r="AK59" i="40"/>
  <c r="AK61" i="40"/>
  <c r="AK62" i="40" s="1"/>
  <c r="AK72" i="40"/>
  <c r="AK73" i="40"/>
  <c r="AK75" i="40"/>
  <c r="AK83" i="40"/>
  <c r="V85" i="40"/>
  <c r="AD85" i="40"/>
  <c r="W85" i="40"/>
  <c r="AE85" i="40"/>
  <c r="X85" i="40"/>
  <c r="AF85" i="40"/>
  <c r="AK85" i="40"/>
  <c r="Y85" i="40"/>
  <c r="AG85" i="40"/>
  <c r="U85" i="40"/>
  <c r="Z85" i="40"/>
  <c r="AH85" i="40"/>
  <c r="AC85" i="40"/>
  <c r="S85" i="40"/>
  <c r="AA85" i="40"/>
  <c r="AI85" i="40"/>
  <c r="T85" i="40"/>
  <c r="AB85" i="40"/>
  <c r="AJ85" i="40"/>
  <c r="K85" i="40"/>
  <c r="M19" i="40"/>
  <c r="N85" i="40"/>
  <c r="M18" i="40"/>
  <c r="H57" i="40"/>
  <c r="H85" i="40"/>
  <c r="I85" i="40"/>
  <c r="M17" i="40"/>
  <c r="R85" i="40"/>
  <c r="O85" i="40"/>
  <c r="P85" i="40"/>
  <c r="Q85" i="40"/>
  <c r="J85" i="40"/>
  <c r="M85" i="40"/>
  <c r="M12" i="40"/>
  <c r="M20" i="40" s="1"/>
  <c r="L85" i="40"/>
  <c r="L87" i="42"/>
  <c r="H87" i="42"/>
  <c r="K87" i="42"/>
  <c r="M87" i="42"/>
  <c r="R87" i="42"/>
  <c r="P87" i="42"/>
  <c r="M17" i="42"/>
  <c r="M18" i="42"/>
  <c r="Q87" i="42"/>
  <c r="N87" i="42"/>
  <c r="O87" i="42"/>
  <c r="M19" i="42"/>
  <c r="I87" i="42"/>
  <c r="H59" i="42"/>
  <c r="J87" i="42"/>
  <c r="M12" i="42"/>
  <c r="M20" i="42" s="1"/>
  <c r="L32" i="41"/>
  <c r="K32" i="41"/>
  <c r="H32" i="41"/>
  <c r="O32" i="41"/>
  <c r="I32" i="41"/>
  <c r="R32" i="41"/>
  <c r="M32" i="41"/>
  <c r="P32" i="41"/>
  <c r="Q32" i="41"/>
  <c r="J32" i="41"/>
  <c r="N32" i="41"/>
  <c r="F69" i="35"/>
  <c r="F59" i="35"/>
  <c r="F62" i="35" s="1"/>
  <c r="G12" i="35"/>
  <c r="I39" i="47" l="1"/>
  <c r="G28" i="57"/>
  <c r="D28" i="57"/>
  <c r="K14" i="57"/>
  <c r="O40" i="47"/>
  <c r="O45" i="47" s="1"/>
  <c r="AB39" i="47"/>
  <c r="AB47" i="47" s="1"/>
  <c r="K39" i="47"/>
  <c r="K52" i="47" s="1"/>
  <c r="L39" i="47"/>
  <c r="L57" i="47" s="1"/>
  <c r="V39" i="47"/>
  <c r="V50" i="47" s="1"/>
  <c r="S39" i="47"/>
  <c r="R39" i="47"/>
  <c r="R56" i="47" s="1"/>
  <c r="U40" i="47"/>
  <c r="U45" i="47" s="1"/>
  <c r="W40" i="47"/>
  <c r="W45" i="47" s="1"/>
  <c r="AJ39" i="47"/>
  <c r="AJ59" i="47" s="1"/>
  <c r="F72" i="35"/>
  <c r="F74" i="35" s="1"/>
  <c r="G33" i="53"/>
  <c r="G35" i="53" s="1"/>
  <c r="G37" i="53" s="1"/>
  <c r="K80" i="28"/>
  <c r="L80" i="28"/>
  <c r="J80" i="28"/>
  <c r="AG40" i="47"/>
  <c r="AG45" i="47" s="1"/>
  <c r="AD39" i="47"/>
  <c r="AD52" i="47" s="1"/>
  <c r="I51" i="42"/>
  <c r="AG51" i="42"/>
  <c r="J51" i="42"/>
  <c r="R51" i="42"/>
  <c r="Z51" i="42"/>
  <c r="AH51" i="42"/>
  <c r="P51" i="42"/>
  <c r="K51" i="42"/>
  <c r="S51" i="42"/>
  <c r="AA51" i="42"/>
  <c r="AI51" i="42"/>
  <c r="AF51" i="42"/>
  <c r="Q51" i="42"/>
  <c r="L51" i="42"/>
  <c r="T51" i="42"/>
  <c r="AB51" i="42"/>
  <c r="AJ51" i="42"/>
  <c r="N51" i="42"/>
  <c r="H51" i="42"/>
  <c r="O51" i="42"/>
  <c r="M51" i="42"/>
  <c r="U51" i="42"/>
  <c r="AC51" i="42"/>
  <c r="AK51" i="42"/>
  <c r="V51" i="42"/>
  <c r="AD51" i="42"/>
  <c r="W51" i="42"/>
  <c r="AE51" i="42"/>
  <c r="X51" i="42"/>
  <c r="Y51" i="42"/>
  <c r="AE49" i="40"/>
  <c r="P49" i="40"/>
  <c r="X49" i="40"/>
  <c r="AF49" i="40"/>
  <c r="V49" i="40"/>
  <c r="I49" i="40"/>
  <c r="Q49" i="40"/>
  <c r="Y49" i="40"/>
  <c r="AG49" i="40"/>
  <c r="U49" i="40"/>
  <c r="AK49" i="40"/>
  <c r="N49" i="40"/>
  <c r="H49" i="40"/>
  <c r="W49" i="40"/>
  <c r="J49" i="40"/>
  <c r="R49" i="40"/>
  <c r="Z49" i="40"/>
  <c r="AH49" i="40"/>
  <c r="T49" i="40"/>
  <c r="AB49" i="40"/>
  <c r="K49" i="40"/>
  <c r="S49" i="40"/>
  <c r="AA49" i="40"/>
  <c r="AI49" i="40"/>
  <c r="L49" i="40"/>
  <c r="AJ49" i="40"/>
  <c r="M49" i="40"/>
  <c r="AC49" i="40"/>
  <c r="AD49" i="40"/>
  <c r="O49" i="40"/>
  <c r="AA60" i="39"/>
  <c r="AA86" i="39"/>
  <c r="AA62" i="39"/>
  <c r="AA72" i="39"/>
  <c r="AA71" i="39"/>
  <c r="AA87" i="39"/>
  <c r="AB39" i="39"/>
  <c r="Y40" i="47"/>
  <c r="Y45" i="47" s="1"/>
  <c r="H39" i="47"/>
  <c r="R12" i="47" s="1"/>
  <c r="N39" i="47"/>
  <c r="N61" i="47" s="1"/>
  <c r="Q40" i="47"/>
  <c r="Q45" i="47" s="1"/>
  <c r="AA40" i="47"/>
  <c r="AA45" i="47" s="1"/>
  <c r="X39" i="47"/>
  <c r="X50" i="47" s="1"/>
  <c r="AH40" i="47"/>
  <c r="AH45" i="47" s="1"/>
  <c r="Z39" i="47"/>
  <c r="Z50" i="47" s="1"/>
  <c r="AF39" i="47"/>
  <c r="AF52" i="47" s="1"/>
  <c r="P39" i="47"/>
  <c r="P60" i="47" s="1"/>
  <c r="AK39" i="47"/>
  <c r="AK46" i="47" s="1"/>
  <c r="AC39" i="47"/>
  <c r="AC60" i="47" s="1"/>
  <c r="AI40" i="47"/>
  <c r="AI45" i="47" s="1"/>
  <c r="M40" i="47"/>
  <c r="M45" i="47" s="1"/>
  <c r="T39" i="47"/>
  <c r="T52" i="47" s="1"/>
  <c r="J40" i="47"/>
  <c r="J45" i="47" s="1"/>
  <c r="M24" i="48"/>
  <c r="I52" i="45"/>
  <c r="Y86" i="48"/>
  <c r="Y88" i="48" s="1"/>
  <c r="Y90" i="48" s="1"/>
  <c r="Y52" i="48"/>
  <c r="Y53" i="48" s="1"/>
  <c r="AB37" i="44" s="1"/>
  <c r="Y43" i="48"/>
  <c r="Y45" i="48" s="1"/>
  <c r="AB29" i="44" s="1"/>
  <c r="AF52" i="48"/>
  <c r="AF53" i="48" s="1"/>
  <c r="AI37" i="44" s="1"/>
  <c r="AF86" i="48"/>
  <c r="AF88" i="48" s="1"/>
  <c r="AF90" i="48" s="1"/>
  <c r="AF43" i="48"/>
  <c r="AF45" i="48" s="1"/>
  <c r="AI29" i="44" s="1"/>
  <c r="X86" i="48"/>
  <c r="X88" i="48" s="1"/>
  <c r="X90" i="48" s="1"/>
  <c r="X52" i="48"/>
  <c r="X53" i="48" s="1"/>
  <c r="AA37" i="44" s="1"/>
  <c r="X43" i="48"/>
  <c r="X45" i="48" s="1"/>
  <c r="AA29" i="44" s="1"/>
  <c r="P52" i="48"/>
  <c r="P53" i="48" s="1"/>
  <c r="S37" i="44" s="1"/>
  <c r="P86" i="48"/>
  <c r="P88" i="48" s="1"/>
  <c r="P90" i="48" s="1"/>
  <c r="P43" i="48"/>
  <c r="P45" i="48" s="1"/>
  <c r="S29" i="44" s="1"/>
  <c r="H86" i="48"/>
  <c r="H88" i="48" s="1"/>
  <c r="H90" i="48" s="1"/>
  <c r="H43" i="48"/>
  <c r="H45" i="48" s="1"/>
  <c r="H52" i="48"/>
  <c r="H53" i="48" s="1"/>
  <c r="AI52" i="47"/>
  <c r="AI51" i="47"/>
  <c r="AI47" i="47"/>
  <c r="AI57" i="47"/>
  <c r="AI60" i="47"/>
  <c r="AI56" i="47"/>
  <c r="AI50" i="47"/>
  <c r="AI59" i="47"/>
  <c r="AI58" i="47"/>
  <c r="AI46" i="47"/>
  <c r="AI61" i="47"/>
  <c r="R52" i="45"/>
  <c r="P52" i="45"/>
  <c r="M52" i="45"/>
  <c r="L56" i="47"/>
  <c r="AG46" i="47"/>
  <c r="AG50" i="47"/>
  <c r="AG59" i="47"/>
  <c r="AG52" i="47"/>
  <c r="AG58" i="47"/>
  <c r="AG61" i="47"/>
  <c r="AG60" i="47"/>
  <c r="AG47" i="47"/>
  <c r="AG56" i="47"/>
  <c r="AG57" i="47"/>
  <c r="AG51" i="47"/>
  <c r="AB52" i="47"/>
  <c r="U61" i="47"/>
  <c r="U47" i="47"/>
  <c r="U51" i="47"/>
  <c r="U57" i="47"/>
  <c r="U52" i="47"/>
  <c r="U58" i="47"/>
  <c r="U46" i="47"/>
  <c r="U60" i="47"/>
  <c r="U56" i="47"/>
  <c r="U59" i="47"/>
  <c r="U50" i="47"/>
  <c r="J47" i="47"/>
  <c r="J59" i="47"/>
  <c r="J50" i="47"/>
  <c r="J61" i="47"/>
  <c r="J56" i="47"/>
  <c r="J57" i="47"/>
  <c r="J60" i="47"/>
  <c r="J51" i="47"/>
  <c r="J46" i="47"/>
  <c r="J52" i="47"/>
  <c r="J58" i="47"/>
  <c r="AE52" i="48"/>
  <c r="AE53" i="48" s="1"/>
  <c r="AH37" i="44" s="1"/>
  <c r="AE43" i="48"/>
  <c r="AE45" i="48" s="1"/>
  <c r="AH29" i="44" s="1"/>
  <c r="AE86" i="48"/>
  <c r="AE88" i="48" s="1"/>
  <c r="AE90" i="48" s="1"/>
  <c r="W52" i="48"/>
  <c r="W53" i="48" s="1"/>
  <c r="Z37" i="44" s="1"/>
  <c r="W86" i="48"/>
  <c r="W88" i="48" s="1"/>
  <c r="W90" i="48" s="1"/>
  <c r="W43" i="48"/>
  <c r="W45" i="48" s="1"/>
  <c r="Z29" i="44" s="1"/>
  <c r="O86" i="48"/>
  <c r="O88" i="48" s="1"/>
  <c r="O90" i="48" s="1"/>
  <c r="O52" i="48"/>
  <c r="O53" i="48" s="1"/>
  <c r="R37" i="44" s="1"/>
  <c r="O43" i="48"/>
  <c r="O45" i="48" s="1"/>
  <c r="R29" i="44" s="1"/>
  <c r="K86" i="48"/>
  <c r="K88" i="48" s="1"/>
  <c r="K90" i="48" s="1"/>
  <c r="K52" i="48"/>
  <c r="K53" i="48" s="1"/>
  <c r="N37" i="44" s="1"/>
  <c r="K43" i="48"/>
  <c r="K45" i="48" s="1"/>
  <c r="N29" i="44" s="1"/>
  <c r="AC52" i="45"/>
  <c r="W52" i="45"/>
  <c r="AA52" i="45"/>
  <c r="AE52" i="47"/>
  <c r="AE57" i="47"/>
  <c r="AE47" i="47"/>
  <c r="AE59" i="47"/>
  <c r="AE60" i="47"/>
  <c r="AE51" i="47"/>
  <c r="AE56" i="47"/>
  <c r="AE61" i="47"/>
  <c r="AE58" i="47"/>
  <c r="AE46" i="47"/>
  <c r="AE50" i="47"/>
  <c r="AD43" i="48"/>
  <c r="AD45" i="48" s="1"/>
  <c r="AG29" i="44" s="1"/>
  <c r="AD52" i="48"/>
  <c r="AD53" i="48" s="1"/>
  <c r="AG37" i="44" s="1"/>
  <c r="AD86" i="48"/>
  <c r="AD88" i="48" s="1"/>
  <c r="AD90" i="48" s="1"/>
  <c r="V52" i="48"/>
  <c r="V53" i="48" s="1"/>
  <c r="Y37" i="44" s="1"/>
  <c r="V86" i="48"/>
  <c r="V88" i="48" s="1"/>
  <c r="V90" i="48" s="1"/>
  <c r="V43" i="48"/>
  <c r="V45" i="48" s="1"/>
  <c r="Y29" i="44" s="1"/>
  <c r="N52" i="48"/>
  <c r="N53" i="48" s="1"/>
  <c r="Q37" i="44" s="1"/>
  <c r="N86" i="48"/>
  <c r="N88" i="48" s="1"/>
  <c r="N90" i="48" s="1"/>
  <c r="N43" i="48"/>
  <c r="N45" i="48" s="1"/>
  <c r="Q29" i="44" s="1"/>
  <c r="AH61" i="47"/>
  <c r="AH46" i="47"/>
  <c r="AH51" i="47"/>
  <c r="AH50" i="47"/>
  <c r="AH57" i="47"/>
  <c r="AH60" i="47"/>
  <c r="AH58" i="47"/>
  <c r="AH52" i="47"/>
  <c r="AH47" i="47"/>
  <c r="AH59" i="47"/>
  <c r="AH56" i="47"/>
  <c r="W46" i="47"/>
  <c r="W56" i="47"/>
  <c r="W57" i="47"/>
  <c r="W60" i="47"/>
  <c r="W59" i="47"/>
  <c r="W50" i="47"/>
  <c r="W61" i="47"/>
  <c r="W58" i="47"/>
  <c r="W52" i="47"/>
  <c r="W47" i="47"/>
  <c r="W51" i="47"/>
  <c r="AJ52" i="45"/>
  <c r="AH52" i="45"/>
  <c r="AB52" i="45"/>
  <c r="Z52" i="45"/>
  <c r="O52" i="45"/>
  <c r="L52" i="45"/>
  <c r="M57" i="47"/>
  <c r="M47" i="47"/>
  <c r="M51" i="47"/>
  <c r="M52" i="47"/>
  <c r="M56" i="47"/>
  <c r="M46" i="47"/>
  <c r="M58" i="47"/>
  <c r="M59" i="47"/>
  <c r="M61" i="47"/>
  <c r="M50" i="47"/>
  <c r="M60" i="47"/>
  <c r="O59" i="47"/>
  <c r="O60" i="47"/>
  <c r="O61" i="47"/>
  <c r="O58" i="47"/>
  <c r="O46" i="47"/>
  <c r="O56" i="47"/>
  <c r="O51" i="47"/>
  <c r="O50" i="47"/>
  <c r="O57" i="47"/>
  <c r="O52" i="47"/>
  <c r="O47" i="47"/>
  <c r="AK52" i="48"/>
  <c r="AK53" i="48" s="1"/>
  <c r="AK43" i="48"/>
  <c r="AK45" i="48" s="1"/>
  <c r="AK86" i="48"/>
  <c r="AK88" i="48" s="1"/>
  <c r="AK90" i="48" s="1"/>
  <c r="AC86" i="48"/>
  <c r="AC88" i="48" s="1"/>
  <c r="AC90" i="48" s="1"/>
  <c r="AC52" i="48"/>
  <c r="AC53" i="48" s="1"/>
  <c r="AF37" i="44" s="1"/>
  <c r="AC43" i="48"/>
  <c r="AC45" i="48" s="1"/>
  <c r="AF29" i="44" s="1"/>
  <c r="U86" i="48"/>
  <c r="U88" i="48" s="1"/>
  <c r="U90" i="48" s="1"/>
  <c r="U43" i="48"/>
  <c r="U45" i="48" s="1"/>
  <c r="X29" i="44" s="1"/>
  <c r="U52" i="48"/>
  <c r="U53" i="48" s="1"/>
  <c r="X37" i="44" s="1"/>
  <c r="M43" i="48"/>
  <c r="M45" i="48" s="1"/>
  <c r="P29" i="44" s="1"/>
  <c r="M86" i="48"/>
  <c r="M88" i="48" s="1"/>
  <c r="M90" i="48" s="1"/>
  <c r="M52" i="48"/>
  <c r="M53" i="48" s="1"/>
  <c r="P37" i="44" s="1"/>
  <c r="I52" i="48"/>
  <c r="I53" i="48" s="1"/>
  <c r="I86" i="48"/>
  <c r="I88" i="48" s="1"/>
  <c r="I90" i="48" s="1"/>
  <c r="I43" i="48"/>
  <c r="I45" i="48" s="1"/>
  <c r="AE52" i="45"/>
  <c r="T52" i="45"/>
  <c r="S47" i="47"/>
  <c r="S57" i="47"/>
  <c r="S56" i="47"/>
  <c r="S60" i="47"/>
  <c r="S50" i="47"/>
  <c r="S61" i="47"/>
  <c r="S51" i="47"/>
  <c r="S58" i="47"/>
  <c r="S52" i="47"/>
  <c r="S46" i="47"/>
  <c r="S59" i="47"/>
  <c r="R57" i="47"/>
  <c r="Q43" i="48"/>
  <c r="Q45" i="48" s="1"/>
  <c r="T29" i="44" s="1"/>
  <c r="Q86" i="48"/>
  <c r="Q88" i="48" s="1"/>
  <c r="Q90" i="48" s="1"/>
  <c r="Q52" i="48"/>
  <c r="Q53" i="48" s="1"/>
  <c r="T37" i="44" s="1"/>
  <c r="AK52" i="45"/>
  <c r="U52" i="45"/>
  <c r="AA57" i="47"/>
  <c r="AA58" i="47"/>
  <c r="AA51" i="47"/>
  <c r="AA46" i="47"/>
  <c r="AA52" i="47"/>
  <c r="AA61" i="47"/>
  <c r="AA47" i="47"/>
  <c r="AA59" i="47"/>
  <c r="AA60" i="47"/>
  <c r="AA56" i="47"/>
  <c r="AA50" i="47"/>
  <c r="AF50" i="47"/>
  <c r="AF59" i="47"/>
  <c r="AF61" i="47"/>
  <c r="AJ52" i="48"/>
  <c r="AJ53" i="48" s="1"/>
  <c r="AJ86" i="48"/>
  <c r="AJ88" i="48" s="1"/>
  <c r="AJ90" i="48" s="1"/>
  <c r="AJ43" i="48"/>
  <c r="AJ45" i="48" s="1"/>
  <c r="AB86" i="48"/>
  <c r="AB88" i="48" s="1"/>
  <c r="AB90" i="48" s="1"/>
  <c r="AB43" i="48"/>
  <c r="AB45" i="48" s="1"/>
  <c r="AE29" i="44" s="1"/>
  <c r="AB52" i="48"/>
  <c r="AB53" i="48" s="1"/>
  <c r="AE37" i="44" s="1"/>
  <c r="T52" i="48"/>
  <c r="T53" i="48" s="1"/>
  <c r="W37" i="44" s="1"/>
  <c r="T43" i="48"/>
  <c r="T45" i="48" s="1"/>
  <c r="W29" i="44" s="1"/>
  <c r="T86" i="48"/>
  <c r="T88" i="48" s="1"/>
  <c r="T90" i="48" s="1"/>
  <c r="L86" i="48"/>
  <c r="L88" i="48" s="1"/>
  <c r="L90" i="48" s="1"/>
  <c r="L52" i="48"/>
  <c r="L53" i="48" s="1"/>
  <c r="O37" i="44" s="1"/>
  <c r="L43" i="48"/>
  <c r="L45" i="48" s="1"/>
  <c r="O29" i="44" s="1"/>
  <c r="H50" i="47"/>
  <c r="H46" i="47"/>
  <c r="AD52" i="45"/>
  <c r="Y52" i="45"/>
  <c r="V52" i="45"/>
  <c r="N52" i="45"/>
  <c r="AG86" i="48"/>
  <c r="AG88" i="48" s="1"/>
  <c r="AG90" i="48" s="1"/>
  <c r="AG52" i="48"/>
  <c r="AG53" i="48" s="1"/>
  <c r="AJ37" i="44" s="1"/>
  <c r="AG43" i="48"/>
  <c r="AG45" i="48" s="1"/>
  <c r="AJ29" i="44" s="1"/>
  <c r="J43" i="48"/>
  <c r="J45" i="48" s="1"/>
  <c r="J52" i="48"/>
  <c r="J53" i="48" s="1"/>
  <c r="J86" i="48"/>
  <c r="J88" i="48" s="1"/>
  <c r="J90" i="48" s="1"/>
  <c r="X52" i="45"/>
  <c r="Q56" i="47"/>
  <c r="Q60" i="47"/>
  <c r="Q58" i="47"/>
  <c r="Q47" i="47"/>
  <c r="Q61" i="47"/>
  <c r="Q50" i="47"/>
  <c r="Q57" i="47"/>
  <c r="Q46" i="47"/>
  <c r="Q51" i="47"/>
  <c r="Q59" i="47"/>
  <c r="Q52" i="47"/>
  <c r="AI52" i="48"/>
  <c r="AI53" i="48" s="1"/>
  <c r="AI86" i="48"/>
  <c r="AI88" i="48" s="1"/>
  <c r="AI90" i="48" s="1"/>
  <c r="AI43" i="48"/>
  <c r="AI45" i="48" s="1"/>
  <c r="AA43" i="48"/>
  <c r="AA45" i="48" s="1"/>
  <c r="AD29" i="44" s="1"/>
  <c r="AA86" i="48"/>
  <c r="AA88" i="48" s="1"/>
  <c r="AA90" i="48" s="1"/>
  <c r="AA52" i="48"/>
  <c r="AA53" i="48" s="1"/>
  <c r="AD37" i="44" s="1"/>
  <c r="S43" i="48"/>
  <c r="S45" i="48" s="1"/>
  <c r="V29" i="44" s="1"/>
  <c r="S86" i="48"/>
  <c r="S88" i="48" s="1"/>
  <c r="S90" i="48" s="1"/>
  <c r="S52" i="48"/>
  <c r="S53" i="48" s="1"/>
  <c r="V37" i="44" s="1"/>
  <c r="AG52" i="45"/>
  <c r="S52" i="45"/>
  <c r="Q52" i="45"/>
  <c r="K52" i="45"/>
  <c r="I61" i="47"/>
  <c r="I46" i="47"/>
  <c r="I51" i="47"/>
  <c r="I47" i="47"/>
  <c r="I57" i="47"/>
  <c r="I60" i="47"/>
  <c r="I59" i="47"/>
  <c r="I50" i="47"/>
  <c r="I52" i="47"/>
  <c r="I56" i="47"/>
  <c r="I58" i="47"/>
  <c r="AJ58" i="47"/>
  <c r="AJ50" i="47"/>
  <c r="AJ61" i="47"/>
  <c r="AH52" i="48"/>
  <c r="AH53" i="48" s="1"/>
  <c r="AH43" i="48"/>
  <c r="AH45" i="48" s="1"/>
  <c r="AH86" i="48"/>
  <c r="AH88" i="48" s="1"/>
  <c r="AH90" i="48" s="1"/>
  <c r="Z52" i="48"/>
  <c r="Z53" i="48" s="1"/>
  <c r="AC37" i="44" s="1"/>
  <c r="Z86" i="48"/>
  <c r="Z88" i="48" s="1"/>
  <c r="Z90" i="48" s="1"/>
  <c r="Z43" i="48"/>
  <c r="Z45" i="48" s="1"/>
  <c r="AC29" i="44" s="1"/>
  <c r="R52" i="48"/>
  <c r="R53" i="48" s="1"/>
  <c r="U37" i="44" s="1"/>
  <c r="R43" i="48"/>
  <c r="R45" i="48" s="1"/>
  <c r="U29" i="44" s="1"/>
  <c r="R86" i="48"/>
  <c r="R88" i="48" s="1"/>
  <c r="R90" i="48" s="1"/>
  <c r="Y59" i="47"/>
  <c r="Y47" i="47"/>
  <c r="Y60" i="47"/>
  <c r="Y52" i="47"/>
  <c r="Y61" i="47"/>
  <c r="Y56" i="47"/>
  <c r="Y57" i="47"/>
  <c r="Y58" i="47"/>
  <c r="Y51" i="47"/>
  <c r="Y46" i="47"/>
  <c r="Y50" i="47"/>
  <c r="AI52" i="45"/>
  <c r="AF52" i="45"/>
  <c r="H49" i="45"/>
  <c r="H50" i="45" s="1"/>
  <c r="L49" i="45"/>
  <c r="L50" i="45" s="1"/>
  <c r="L56" i="45" s="1"/>
  <c r="K49" i="45"/>
  <c r="K50" i="45" s="1"/>
  <c r="K56" i="45" s="1"/>
  <c r="J49" i="45"/>
  <c r="J50" i="45" s="1"/>
  <c r="J56" i="45" s="1"/>
  <c r="I49" i="45"/>
  <c r="I50" i="45" s="1"/>
  <c r="M49" i="45"/>
  <c r="M50" i="45" s="1"/>
  <c r="M56" i="45" s="1"/>
  <c r="N49" i="45"/>
  <c r="N50" i="45" s="1"/>
  <c r="N56" i="45" s="1"/>
  <c r="O49" i="45"/>
  <c r="O50" i="45" s="1"/>
  <c r="O56" i="45" s="1"/>
  <c r="P49" i="45"/>
  <c r="P50" i="45" s="1"/>
  <c r="P56" i="45" s="1"/>
  <c r="Q49" i="45"/>
  <c r="Q50" i="45" s="1"/>
  <c r="Q56" i="45" s="1"/>
  <c r="R49" i="45"/>
  <c r="R50" i="45" s="1"/>
  <c r="R56" i="45" s="1"/>
  <c r="S49" i="45"/>
  <c r="S50" i="45" s="1"/>
  <c r="S56" i="45" s="1"/>
  <c r="T49" i="45"/>
  <c r="T50" i="45" s="1"/>
  <c r="T56" i="45" s="1"/>
  <c r="U49" i="45"/>
  <c r="U50" i="45" s="1"/>
  <c r="U56" i="45" s="1"/>
  <c r="V49" i="45"/>
  <c r="V50" i="45" s="1"/>
  <c r="V56" i="45" s="1"/>
  <c r="W49" i="45"/>
  <c r="W50" i="45" s="1"/>
  <c r="W56" i="45" s="1"/>
  <c r="X49" i="45"/>
  <c r="X50" i="45" s="1"/>
  <c r="X56" i="45" s="1"/>
  <c r="Y49" i="45"/>
  <c r="Y50" i="45" s="1"/>
  <c r="Y56" i="45" s="1"/>
  <c r="Z49" i="45"/>
  <c r="Z50" i="45" s="1"/>
  <c r="Z56" i="45" s="1"/>
  <c r="AA49" i="45"/>
  <c r="AA50" i="45" s="1"/>
  <c r="AA56" i="45" s="1"/>
  <c r="AB49" i="45"/>
  <c r="AB50" i="45" s="1"/>
  <c r="AB56" i="45" s="1"/>
  <c r="AC49" i="45"/>
  <c r="AC50" i="45" s="1"/>
  <c r="AC56" i="45" s="1"/>
  <c r="AD49" i="45"/>
  <c r="AD50" i="45" s="1"/>
  <c r="AD56" i="45" s="1"/>
  <c r="AE49" i="45"/>
  <c r="AE50" i="45" s="1"/>
  <c r="AE56" i="45" s="1"/>
  <c r="AF49" i="45"/>
  <c r="AF50" i="45" s="1"/>
  <c r="AF56" i="45" s="1"/>
  <c r="AG49" i="45"/>
  <c r="AG50" i="45" s="1"/>
  <c r="AG56" i="45" s="1"/>
  <c r="AH49" i="45"/>
  <c r="AH50" i="45" s="1"/>
  <c r="AH56" i="45" s="1"/>
  <c r="AI49" i="45"/>
  <c r="AI50" i="45" s="1"/>
  <c r="AI56" i="45" s="1"/>
  <c r="AJ49" i="45"/>
  <c r="AJ50" i="45" s="1"/>
  <c r="AJ56" i="45" s="1"/>
  <c r="AK49" i="45"/>
  <c r="AK50" i="45" s="1"/>
  <c r="AK56" i="45" s="1"/>
  <c r="J52" i="45"/>
  <c r="Y34" i="41"/>
  <c r="Y39" i="41" s="1"/>
  <c r="Y33" i="41"/>
  <c r="U33" i="41"/>
  <c r="U34" i="41"/>
  <c r="U39" i="41" s="1"/>
  <c r="AD33" i="41"/>
  <c r="AD34" i="41"/>
  <c r="AD39" i="41" s="1"/>
  <c r="AJ34" i="41"/>
  <c r="AJ39" i="41" s="1"/>
  <c r="AJ33" i="41"/>
  <c r="AH34" i="41"/>
  <c r="AH39" i="41" s="1"/>
  <c r="AH33" i="41"/>
  <c r="AE33" i="41"/>
  <c r="AE34" i="41"/>
  <c r="AE39" i="41" s="1"/>
  <c r="AB34" i="41"/>
  <c r="AB39" i="41" s="1"/>
  <c r="AB33" i="41"/>
  <c r="Z33" i="41"/>
  <c r="Z34" i="41"/>
  <c r="Z39" i="41" s="1"/>
  <c r="T34" i="41"/>
  <c r="T39" i="41" s="1"/>
  <c r="T33" i="41"/>
  <c r="AG34" i="41"/>
  <c r="AG39" i="41" s="1"/>
  <c r="AG33" i="41"/>
  <c r="AI34" i="41"/>
  <c r="AI39" i="41" s="1"/>
  <c r="AI33" i="41"/>
  <c r="AA34" i="41"/>
  <c r="AA39" i="41" s="1"/>
  <c r="AA33" i="41"/>
  <c r="AK33" i="41"/>
  <c r="AK34" i="41"/>
  <c r="AK39" i="41" s="1"/>
  <c r="S34" i="41"/>
  <c r="S39" i="41" s="1"/>
  <c r="S33" i="41"/>
  <c r="X34" i="41"/>
  <c r="X39" i="41" s="1"/>
  <c r="X33" i="41"/>
  <c r="AF34" i="41"/>
  <c r="AF39" i="41" s="1"/>
  <c r="AF33" i="41"/>
  <c r="AC33" i="41"/>
  <c r="AC34" i="41"/>
  <c r="AC39" i="41" s="1"/>
  <c r="V33" i="41"/>
  <c r="V34" i="41"/>
  <c r="V39" i="41" s="1"/>
  <c r="W33" i="41"/>
  <c r="W34" i="41"/>
  <c r="W39" i="41" s="1"/>
  <c r="S42" i="42"/>
  <c r="T42" i="42"/>
  <c r="U42" i="42"/>
  <c r="V42" i="42"/>
  <c r="W42" i="42"/>
  <c r="X42" i="42"/>
  <c r="Y42" i="42"/>
  <c r="Z42" i="42"/>
  <c r="AA42" i="42"/>
  <c r="AB42" i="42"/>
  <c r="AC42" i="42"/>
  <c r="AD42" i="42"/>
  <c r="AE42" i="42"/>
  <c r="AF42" i="42"/>
  <c r="AG42" i="42"/>
  <c r="AH42" i="42"/>
  <c r="AI42" i="42"/>
  <c r="AJ42" i="42"/>
  <c r="AK42" i="42"/>
  <c r="S49" i="42"/>
  <c r="U49" i="42"/>
  <c r="T49" i="42"/>
  <c r="V49" i="42"/>
  <c r="W49" i="42"/>
  <c r="X49" i="42"/>
  <c r="Y49" i="42"/>
  <c r="Z49" i="42"/>
  <c r="AA49" i="42"/>
  <c r="AB49" i="42"/>
  <c r="AC49" i="42"/>
  <c r="AD49" i="42"/>
  <c r="AE49" i="42"/>
  <c r="AF49" i="42"/>
  <c r="AG49" i="42"/>
  <c r="AH49" i="42"/>
  <c r="AI49" i="42"/>
  <c r="AJ49" i="42"/>
  <c r="AK49" i="42"/>
  <c r="S48" i="42"/>
  <c r="T48" i="42"/>
  <c r="U48" i="42"/>
  <c r="V48" i="42"/>
  <c r="W48" i="42"/>
  <c r="X48" i="42"/>
  <c r="Y48" i="42"/>
  <c r="Z48" i="42"/>
  <c r="AA48" i="42"/>
  <c r="AB48" i="42"/>
  <c r="AC48" i="42"/>
  <c r="AD48" i="42"/>
  <c r="AE48" i="42"/>
  <c r="AF48" i="42"/>
  <c r="AG48" i="42"/>
  <c r="AH48" i="42"/>
  <c r="AI48" i="42"/>
  <c r="AJ48" i="42"/>
  <c r="AK48" i="42"/>
  <c r="S50" i="42"/>
  <c r="T50" i="42"/>
  <c r="U50" i="42"/>
  <c r="V50" i="42"/>
  <c r="W50" i="42"/>
  <c r="X50" i="42"/>
  <c r="Y50" i="42"/>
  <c r="Z50" i="42"/>
  <c r="AA50" i="42"/>
  <c r="AB50" i="42"/>
  <c r="AC50" i="42"/>
  <c r="AD50" i="42"/>
  <c r="AE50" i="42"/>
  <c r="AF50" i="42"/>
  <c r="AG50" i="42"/>
  <c r="AH50" i="42"/>
  <c r="AI50" i="42"/>
  <c r="AJ50" i="42"/>
  <c r="AK50" i="42"/>
  <c r="S47" i="40"/>
  <c r="T47" i="40"/>
  <c r="V47" i="40"/>
  <c r="U47" i="40"/>
  <c r="W47" i="40"/>
  <c r="X47" i="40"/>
  <c r="Y47" i="40"/>
  <c r="Z47" i="40"/>
  <c r="AA47" i="40"/>
  <c r="AB47" i="40"/>
  <c r="AC47" i="40"/>
  <c r="AD47" i="40"/>
  <c r="AE47" i="40"/>
  <c r="AF47" i="40"/>
  <c r="AG47" i="40"/>
  <c r="AH47" i="40"/>
  <c r="AI47" i="40"/>
  <c r="AJ47" i="40"/>
  <c r="AK47" i="40"/>
  <c r="S46" i="40"/>
  <c r="T46" i="40"/>
  <c r="V46" i="40"/>
  <c r="U46" i="40"/>
  <c r="W46" i="40"/>
  <c r="X46" i="40"/>
  <c r="Y46" i="40"/>
  <c r="Z46" i="40"/>
  <c r="AA46" i="40"/>
  <c r="AB46" i="40"/>
  <c r="AC46" i="40"/>
  <c r="AD46" i="40"/>
  <c r="AE46" i="40"/>
  <c r="AF46" i="40"/>
  <c r="AG46" i="40"/>
  <c r="AH46" i="40"/>
  <c r="AI46" i="40"/>
  <c r="AJ46" i="40"/>
  <c r="AK46" i="40"/>
  <c r="S40" i="40"/>
  <c r="T40" i="40"/>
  <c r="U40" i="40"/>
  <c r="V40" i="40"/>
  <c r="W40" i="40"/>
  <c r="X40" i="40"/>
  <c r="Y40" i="40"/>
  <c r="Z40" i="40"/>
  <c r="AA40" i="40"/>
  <c r="AB40" i="40"/>
  <c r="AC40" i="40"/>
  <c r="AD40" i="40"/>
  <c r="AE40" i="40"/>
  <c r="AF40" i="40"/>
  <c r="AG40" i="40"/>
  <c r="AH40" i="40"/>
  <c r="AI40" i="40"/>
  <c r="AJ40" i="40"/>
  <c r="AK40" i="40"/>
  <c r="AK63" i="40"/>
  <c r="T48" i="40"/>
  <c r="S48" i="40"/>
  <c r="V48" i="40"/>
  <c r="U48" i="40"/>
  <c r="W48" i="40"/>
  <c r="X48" i="40"/>
  <c r="Y48" i="40"/>
  <c r="Z48" i="40"/>
  <c r="AA48" i="40"/>
  <c r="AB48" i="40"/>
  <c r="AC48" i="40"/>
  <c r="AD48" i="40"/>
  <c r="AE48" i="40"/>
  <c r="AF48" i="40"/>
  <c r="AG48" i="40"/>
  <c r="AH48" i="40"/>
  <c r="AI48" i="40"/>
  <c r="AJ48" i="40"/>
  <c r="AK48" i="40"/>
  <c r="O33" i="41"/>
  <c r="O34" i="41"/>
  <c r="O39" i="41" s="1"/>
  <c r="K50" i="42"/>
  <c r="L50" i="42"/>
  <c r="I50" i="42"/>
  <c r="H50" i="42"/>
  <c r="J50" i="42"/>
  <c r="M50" i="42"/>
  <c r="N50" i="42"/>
  <c r="O50" i="42"/>
  <c r="P50" i="42"/>
  <c r="Q50" i="42"/>
  <c r="R50" i="42"/>
  <c r="I46" i="40"/>
  <c r="K46" i="40"/>
  <c r="H46" i="40"/>
  <c r="J46" i="40"/>
  <c r="L46" i="40"/>
  <c r="M46" i="40"/>
  <c r="N46" i="40"/>
  <c r="O46" i="40"/>
  <c r="P46" i="40"/>
  <c r="Q46" i="40"/>
  <c r="R46" i="40"/>
  <c r="H34" i="41"/>
  <c r="H39" i="41" s="1"/>
  <c r="H33" i="41"/>
  <c r="M21" i="40"/>
  <c r="M22" i="40" s="1"/>
  <c r="J40" i="40"/>
  <c r="M13" i="40"/>
  <c r="M14" i="40" s="1"/>
  <c r="N12" i="40"/>
  <c r="K40" i="40"/>
  <c r="I40" i="40"/>
  <c r="H40" i="40"/>
  <c r="L40" i="40"/>
  <c r="M40" i="40"/>
  <c r="N40" i="40"/>
  <c r="O40" i="40"/>
  <c r="P40" i="40"/>
  <c r="Q40" i="40"/>
  <c r="R40" i="40"/>
  <c r="J33" i="41"/>
  <c r="J34" i="41"/>
  <c r="J39" i="41" s="1"/>
  <c r="K33" i="41"/>
  <c r="K34" i="41"/>
  <c r="K39" i="41" s="1"/>
  <c r="N34" i="41"/>
  <c r="N39" i="41" s="1"/>
  <c r="N33" i="41"/>
  <c r="Q34" i="41"/>
  <c r="Q39" i="41" s="1"/>
  <c r="Q33" i="41"/>
  <c r="L34" i="41"/>
  <c r="L39" i="41" s="1"/>
  <c r="L33" i="41"/>
  <c r="H49" i="42"/>
  <c r="K49" i="42"/>
  <c r="L49" i="42"/>
  <c r="I49" i="42"/>
  <c r="J49" i="42"/>
  <c r="M49" i="42"/>
  <c r="N49" i="42"/>
  <c r="O49" i="42"/>
  <c r="P49" i="42"/>
  <c r="Q49" i="42"/>
  <c r="R49" i="42"/>
  <c r="H47" i="40"/>
  <c r="I47" i="40"/>
  <c r="K47" i="40"/>
  <c r="J47" i="40"/>
  <c r="L47" i="40"/>
  <c r="M47" i="40"/>
  <c r="N47" i="40"/>
  <c r="O47" i="40"/>
  <c r="P47" i="40"/>
  <c r="Q47" i="40"/>
  <c r="R47" i="40"/>
  <c r="M34" i="41"/>
  <c r="M39" i="41" s="1"/>
  <c r="M33" i="41"/>
  <c r="I48" i="42"/>
  <c r="L48" i="42"/>
  <c r="K48" i="42"/>
  <c r="J48" i="42"/>
  <c r="H48" i="42"/>
  <c r="M48" i="42"/>
  <c r="N48" i="42"/>
  <c r="O48" i="42"/>
  <c r="P48" i="42"/>
  <c r="Q48" i="42"/>
  <c r="R48" i="42"/>
  <c r="P34" i="41"/>
  <c r="P39" i="41" s="1"/>
  <c r="P33" i="41"/>
  <c r="R34" i="41"/>
  <c r="R39" i="41" s="1"/>
  <c r="R33" i="41"/>
  <c r="I48" i="40"/>
  <c r="J48" i="40"/>
  <c r="K48" i="40"/>
  <c r="H48" i="40"/>
  <c r="L48" i="40"/>
  <c r="M48" i="40"/>
  <c r="N48" i="40"/>
  <c r="O48" i="40"/>
  <c r="P48" i="40"/>
  <c r="Q48" i="40"/>
  <c r="R48" i="40"/>
  <c r="J42" i="42"/>
  <c r="I42" i="42"/>
  <c r="H42" i="42"/>
  <c r="N12" i="42"/>
  <c r="L42" i="42"/>
  <c r="K42" i="42"/>
  <c r="M13" i="42"/>
  <c r="M14" i="42" s="1"/>
  <c r="M21" i="42"/>
  <c r="M22" i="42" s="1"/>
  <c r="M42" i="42"/>
  <c r="N42" i="42"/>
  <c r="O42" i="42"/>
  <c r="P42" i="42"/>
  <c r="Q42" i="42"/>
  <c r="R42" i="42"/>
  <c r="I33" i="41"/>
  <c r="I34" i="41"/>
  <c r="I39" i="41" s="1"/>
  <c r="G18" i="35"/>
  <c r="H12" i="35"/>
  <c r="D20" i="37" l="1"/>
  <c r="D19" i="37"/>
  <c r="H60" i="47"/>
  <c r="H56" i="47"/>
  <c r="H51" i="47"/>
  <c r="AD59" i="47"/>
  <c r="H57" i="47"/>
  <c r="AF60" i="47"/>
  <c r="V60" i="47"/>
  <c r="V59" i="47"/>
  <c r="V56" i="47"/>
  <c r="AJ60" i="47"/>
  <c r="AJ52" i="47"/>
  <c r="AJ51" i="47"/>
  <c r="AJ47" i="47"/>
  <c r="AJ46" i="47"/>
  <c r="AB46" i="47"/>
  <c r="AB48" i="47" s="1"/>
  <c r="AE28" i="44" s="1"/>
  <c r="R60" i="47"/>
  <c r="R51" i="47"/>
  <c r="R61" i="47"/>
  <c r="R59" i="47"/>
  <c r="R58" i="47"/>
  <c r="T51" i="47"/>
  <c r="AB61" i="47"/>
  <c r="AB58" i="47"/>
  <c r="AB60" i="47"/>
  <c r="AB50" i="47"/>
  <c r="AJ56" i="47"/>
  <c r="X52" i="47"/>
  <c r="AB59" i="47"/>
  <c r="AB57" i="47"/>
  <c r="K57" i="47"/>
  <c r="AB51" i="47"/>
  <c r="AB56" i="47"/>
  <c r="K60" i="47"/>
  <c r="AJ57" i="47"/>
  <c r="L59" i="47"/>
  <c r="K46" i="47"/>
  <c r="V58" i="47"/>
  <c r="L58" i="47"/>
  <c r="K58" i="47"/>
  <c r="V52" i="47"/>
  <c r="D16" i="57"/>
  <c r="D17" i="57" s="1"/>
  <c r="D21" i="57"/>
  <c r="L14" i="57"/>
  <c r="K61" i="47"/>
  <c r="V47" i="47"/>
  <c r="G16" i="57"/>
  <c r="G17" i="57" s="1"/>
  <c r="G21" i="57"/>
  <c r="V61" i="47"/>
  <c r="L50" i="47"/>
  <c r="K56" i="47"/>
  <c r="K59" i="47"/>
  <c r="L46" i="47"/>
  <c r="L47" i="47"/>
  <c r="L52" i="47"/>
  <c r="L60" i="47"/>
  <c r="K47" i="47"/>
  <c r="L51" i="47"/>
  <c r="K51" i="47"/>
  <c r="L61" i="47"/>
  <c r="K50" i="47"/>
  <c r="AC56" i="47"/>
  <c r="V51" i="47"/>
  <c r="V46" i="47"/>
  <c r="AD57" i="47"/>
  <c r="AD60" i="47"/>
  <c r="AD47" i="47"/>
  <c r="AD61" i="47"/>
  <c r="AD46" i="47"/>
  <c r="AD50" i="47"/>
  <c r="AD58" i="47"/>
  <c r="AD51" i="47"/>
  <c r="AD56" i="47"/>
  <c r="V57" i="47"/>
  <c r="AF51" i="47"/>
  <c r="AF53" i="47" s="1"/>
  <c r="AF47" i="47"/>
  <c r="R52" i="47"/>
  <c r="AF46" i="47"/>
  <c r="AF56" i="47"/>
  <c r="AF57" i="47"/>
  <c r="AF58" i="47"/>
  <c r="H61" i="47"/>
  <c r="H52" i="47"/>
  <c r="R46" i="47"/>
  <c r="R47" i="47"/>
  <c r="T47" i="47"/>
  <c r="H47" i="47"/>
  <c r="H48" i="47" s="1"/>
  <c r="R50" i="47"/>
  <c r="H58" i="47"/>
  <c r="H59" i="47"/>
  <c r="F21" i="44"/>
  <c r="G21" i="44"/>
  <c r="H21" i="44"/>
  <c r="I21" i="44"/>
  <c r="J21" i="44"/>
  <c r="K21" i="44"/>
  <c r="L21" i="44"/>
  <c r="M21" i="44"/>
  <c r="N21" i="44"/>
  <c r="O21" i="44"/>
  <c r="P21" i="44"/>
  <c r="Q21" i="44"/>
  <c r="R21" i="44"/>
  <c r="S21" i="44"/>
  <c r="T21" i="44"/>
  <c r="U21" i="44"/>
  <c r="V21" i="44"/>
  <c r="W21" i="44"/>
  <c r="X21" i="44"/>
  <c r="Y21" i="44"/>
  <c r="Z21" i="44"/>
  <c r="AA21" i="44"/>
  <c r="AB21" i="44"/>
  <c r="AC21" i="44"/>
  <c r="AD21" i="44"/>
  <c r="AE21" i="44"/>
  <c r="AF21" i="44"/>
  <c r="AG21" i="44"/>
  <c r="AH21" i="44"/>
  <c r="AI21" i="44"/>
  <c r="AJ21" i="44"/>
  <c r="L44" i="28"/>
  <c r="J44" i="28"/>
  <c r="K44" i="28"/>
  <c r="N46" i="47"/>
  <c r="N59" i="47"/>
  <c r="AK47" i="47"/>
  <c r="AK48" i="47" s="1"/>
  <c r="N52" i="47"/>
  <c r="AC58" i="47"/>
  <c r="AK50" i="47"/>
  <c r="N51" i="47"/>
  <c r="AC51" i="47"/>
  <c r="AK51" i="47"/>
  <c r="N50" i="47"/>
  <c r="AC52" i="47"/>
  <c r="N47" i="47"/>
  <c r="N57" i="47"/>
  <c r="AC59" i="47"/>
  <c r="N60" i="47"/>
  <c r="N58" i="47"/>
  <c r="AC46" i="47"/>
  <c r="N56" i="47"/>
  <c r="AC50" i="47"/>
  <c r="H53" i="45"/>
  <c r="H57" i="45" s="1"/>
  <c r="H56" i="45"/>
  <c r="I53" i="45"/>
  <c r="I55" i="45" s="1"/>
  <c r="I56" i="45"/>
  <c r="AG53" i="45"/>
  <c r="AJ25" i="44" s="1"/>
  <c r="W53" i="45"/>
  <c r="Z25" i="44" s="1"/>
  <c r="AB60" i="39"/>
  <c r="AB62" i="39"/>
  <c r="AB86" i="39"/>
  <c r="AB87" i="39"/>
  <c r="AB71" i="39"/>
  <c r="AB72" i="39"/>
  <c r="AC39" i="39"/>
  <c r="AA74" i="39"/>
  <c r="X46" i="47"/>
  <c r="X56" i="47"/>
  <c r="X51" i="47"/>
  <c r="X47" i="47"/>
  <c r="X57" i="47"/>
  <c r="X60" i="47"/>
  <c r="X61" i="47"/>
  <c r="X58" i="47"/>
  <c r="X59" i="47"/>
  <c r="Z61" i="47"/>
  <c r="G45" i="28"/>
  <c r="F45" i="28"/>
  <c r="F48" i="28" s="1"/>
  <c r="T50" i="47"/>
  <c r="T57" i="47"/>
  <c r="Z46" i="47"/>
  <c r="T56" i="47"/>
  <c r="T58" i="47"/>
  <c r="Z52" i="47"/>
  <c r="Z60" i="47"/>
  <c r="T60" i="47"/>
  <c r="Z58" i="47"/>
  <c r="Z59" i="47"/>
  <c r="T59" i="47"/>
  <c r="Z51" i="47"/>
  <c r="Z47" i="47"/>
  <c r="T61" i="47"/>
  <c r="Z56" i="47"/>
  <c r="T46" i="47"/>
  <c r="Z57" i="47"/>
  <c r="P58" i="47"/>
  <c r="P61" i="47"/>
  <c r="P46" i="47"/>
  <c r="P50" i="47"/>
  <c r="P56" i="47"/>
  <c r="P47" i="47"/>
  <c r="P51" i="47"/>
  <c r="P52" i="47"/>
  <c r="P59" i="47"/>
  <c r="P57" i="47"/>
  <c r="AK57" i="47"/>
  <c r="AK60" i="47"/>
  <c r="AK58" i="47"/>
  <c r="AK59" i="47"/>
  <c r="AK61" i="47"/>
  <c r="AK56" i="47"/>
  <c r="AK52" i="47"/>
  <c r="J48" i="47"/>
  <c r="AC57" i="47"/>
  <c r="AC47" i="47"/>
  <c r="AC61" i="47"/>
  <c r="Z53" i="45"/>
  <c r="AC25" i="44" s="1"/>
  <c r="U53" i="45"/>
  <c r="X25" i="44" s="1"/>
  <c r="AH53" i="45"/>
  <c r="AH55" i="45" s="1"/>
  <c r="AB53" i="45"/>
  <c r="AE25" i="44" s="1"/>
  <c r="Y53" i="45"/>
  <c r="AB25" i="44" s="1"/>
  <c r="AJ53" i="45"/>
  <c r="AJ55" i="45" s="1"/>
  <c r="AE53" i="45"/>
  <c r="AH25" i="44" s="1"/>
  <c r="AG48" i="47"/>
  <c r="AJ28" i="44" s="1"/>
  <c r="N53" i="45"/>
  <c r="Q25" i="44" s="1"/>
  <c r="Q53" i="45"/>
  <c r="T25" i="44" s="1"/>
  <c r="O53" i="45"/>
  <c r="R25" i="44" s="1"/>
  <c r="AC53" i="45"/>
  <c r="AF25" i="44" s="1"/>
  <c r="AD53" i="45"/>
  <c r="AG25" i="44" s="1"/>
  <c r="O48" i="47"/>
  <c r="R28" i="44" s="1"/>
  <c r="AI53" i="45"/>
  <c r="AI55" i="45" s="1"/>
  <c r="AE48" i="47"/>
  <c r="AH28" i="44" s="1"/>
  <c r="V53" i="45"/>
  <c r="Y25" i="44" s="1"/>
  <c r="Q48" i="47"/>
  <c r="T28" i="44" s="1"/>
  <c r="M53" i="45"/>
  <c r="P25" i="44" s="1"/>
  <c r="T53" i="45"/>
  <c r="W25" i="44" s="1"/>
  <c r="S48" i="47"/>
  <c r="V28" i="44" s="1"/>
  <c r="AA53" i="45"/>
  <c r="AD25" i="44" s="1"/>
  <c r="S53" i="45"/>
  <c r="V25" i="44" s="1"/>
  <c r="AI53" i="47"/>
  <c r="X53" i="45"/>
  <c r="AA25" i="44" s="1"/>
  <c r="AH55" i="48"/>
  <c r="AA48" i="47"/>
  <c r="AD28" i="44" s="1"/>
  <c r="W48" i="47"/>
  <c r="Z28" i="44" s="1"/>
  <c r="AK53" i="45"/>
  <c r="S53" i="47"/>
  <c r="M48" i="47"/>
  <c r="P28" i="44" s="1"/>
  <c r="AH62" i="47"/>
  <c r="J62" i="47"/>
  <c r="I53" i="47"/>
  <c r="AJ55" i="48"/>
  <c r="AH48" i="47"/>
  <c r="U48" i="47"/>
  <c r="X28" i="44" s="1"/>
  <c r="AI48" i="47"/>
  <c r="R53" i="45"/>
  <c r="U25" i="44" s="1"/>
  <c r="K53" i="45"/>
  <c r="Q62" i="47"/>
  <c r="L53" i="45"/>
  <c r="O25" i="44" s="1"/>
  <c r="AK55" i="48"/>
  <c r="AG62" i="47"/>
  <c r="H55" i="48"/>
  <c r="Y48" i="47"/>
  <c r="AB28" i="44" s="1"/>
  <c r="P53" i="45"/>
  <c r="S25" i="44" s="1"/>
  <c r="I48" i="47"/>
  <c r="U53" i="47"/>
  <c r="M55" i="48"/>
  <c r="M61" i="48" s="1"/>
  <c r="M65" i="48" s="1"/>
  <c r="K55" i="48"/>
  <c r="K61" i="48" s="1"/>
  <c r="K65" i="48" s="1"/>
  <c r="AF55" i="48"/>
  <c r="AB55" i="48"/>
  <c r="L55" i="48"/>
  <c r="L61" i="48" s="1"/>
  <c r="L65" i="48" s="1"/>
  <c r="AA55" i="48"/>
  <c r="W55" i="48"/>
  <c r="AF53" i="45"/>
  <c r="AI25" i="44" s="1"/>
  <c r="S55" i="48"/>
  <c r="AI55" i="48"/>
  <c r="O62" i="47"/>
  <c r="AE53" i="47"/>
  <c r="AI62" i="47"/>
  <c r="Y55" i="48"/>
  <c r="H58" i="48"/>
  <c r="Q55" i="48"/>
  <c r="Q61" i="48" s="1"/>
  <c r="I55" i="48"/>
  <c r="I61" i="48" s="1"/>
  <c r="I65" i="48" s="1"/>
  <c r="U55" i="48"/>
  <c r="W53" i="47"/>
  <c r="AG53" i="47"/>
  <c r="P55" i="48"/>
  <c r="P61" i="48" s="1"/>
  <c r="P65" i="48" s="1"/>
  <c r="R55" i="48"/>
  <c r="R61" i="48" s="1"/>
  <c r="Q53" i="47"/>
  <c r="J55" i="48"/>
  <c r="J61" i="48" s="1"/>
  <c r="J65" i="48" s="1"/>
  <c r="S62" i="47"/>
  <c r="M62" i="47"/>
  <c r="N55" i="48"/>
  <c r="N61" i="48" s="1"/>
  <c r="N65" i="48" s="1"/>
  <c r="AD55" i="48"/>
  <c r="O55" i="48"/>
  <c r="O61" i="48" s="1"/>
  <c r="O65" i="48" s="1"/>
  <c r="AE55" i="48"/>
  <c r="J53" i="45"/>
  <c r="Y62" i="47"/>
  <c r="AG55" i="48"/>
  <c r="AC55" i="48"/>
  <c r="Z55" i="48"/>
  <c r="I62" i="47"/>
  <c r="AE62" i="47"/>
  <c r="J53" i="47"/>
  <c r="U62" i="47"/>
  <c r="X55" i="48"/>
  <c r="AA53" i="47"/>
  <c r="M53" i="47"/>
  <c r="W62" i="47"/>
  <c r="V55" i="48"/>
  <c r="Y53" i="47"/>
  <c r="T55" i="48"/>
  <c r="AA62" i="47"/>
  <c r="O53" i="47"/>
  <c r="AH53" i="47"/>
  <c r="W44" i="41"/>
  <c r="W54" i="41"/>
  <c r="W41" i="41"/>
  <c r="W51" i="41"/>
  <c r="W40" i="41"/>
  <c r="W45" i="41"/>
  <c r="W52" i="41"/>
  <c r="W55" i="41"/>
  <c r="W50" i="41"/>
  <c r="W53" i="41"/>
  <c r="W46" i="41"/>
  <c r="AD50" i="41"/>
  <c r="AD52" i="41"/>
  <c r="AD53" i="41"/>
  <c r="AD45" i="41"/>
  <c r="AD44" i="41"/>
  <c r="AD55" i="41"/>
  <c r="AD46" i="41"/>
  <c r="AD40" i="41"/>
  <c r="AD41" i="41"/>
  <c r="AD51" i="41"/>
  <c r="AD54" i="41"/>
  <c r="S50" i="41"/>
  <c r="S40" i="41"/>
  <c r="S46" i="41"/>
  <c r="S51" i="41"/>
  <c r="S45" i="41"/>
  <c r="S44" i="41"/>
  <c r="S54" i="41"/>
  <c r="S53" i="41"/>
  <c r="S41" i="41"/>
  <c r="S55" i="41"/>
  <c r="S52" i="41"/>
  <c r="AG46" i="41"/>
  <c r="AG51" i="41"/>
  <c r="AG53" i="41"/>
  <c r="AG41" i="41"/>
  <c r="AG44" i="41"/>
  <c r="AG50" i="41"/>
  <c r="AG40" i="41"/>
  <c r="AG52" i="41"/>
  <c r="AG54" i="41"/>
  <c r="AG45" i="41"/>
  <c r="AG55" i="41"/>
  <c r="V51" i="41"/>
  <c r="V54" i="41"/>
  <c r="V40" i="41"/>
  <c r="V44" i="41"/>
  <c r="V41" i="41"/>
  <c r="V50" i="41"/>
  <c r="V52" i="41"/>
  <c r="V53" i="41"/>
  <c r="V45" i="41"/>
  <c r="V46" i="41"/>
  <c r="V55" i="41"/>
  <c r="AE44" i="41"/>
  <c r="AE54" i="41"/>
  <c r="AE45" i="41"/>
  <c r="AE52" i="41"/>
  <c r="AE55" i="41"/>
  <c r="AE41" i="41"/>
  <c r="AE51" i="41"/>
  <c r="AE50" i="41"/>
  <c r="AE46" i="41"/>
  <c r="AE40" i="41"/>
  <c r="AE53" i="41"/>
  <c r="U52" i="41"/>
  <c r="U41" i="41"/>
  <c r="U45" i="41"/>
  <c r="U53" i="41"/>
  <c r="U55" i="41"/>
  <c r="U46" i="41"/>
  <c r="U50" i="41"/>
  <c r="U40" i="41"/>
  <c r="U44" i="41"/>
  <c r="U54" i="41"/>
  <c r="U51" i="41"/>
  <c r="T40" i="41"/>
  <c r="T45" i="41"/>
  <c r="T44" i="41"/>
  <c r="T51" i="41"/>
  <c r="T55" i="41"/>
  <c r="T54" i="41"/>
  <c r="T41" i="41"/>
  <c r="T50" i="41"/>
  <c r="T52" i="41"/>
  <c r="T46" i="41"/>
  <c r="T53" i="41"/>
  <c r="AH44" i="41"/>
  <c r="AH53" i="41"/>
  <c r="AH50" i="41"/>
  <c r="AH51" i="41"/>
  <c r="AH46" i="41"/>
  <c r="AH45" i="41"/>
  <c r="AH40" i="41"/>
  <c r="AH52" i="41"/>
  <c r="AH55" i="41"/>
  <c r="AH41" i="41"/>
  <c r="AH54" i="41"/>
  <c r="AC52" i="41"/>
  <c r="AC41" i="41"/>
  <c r="AC55" i="41"/>
  <c r="AC53" i="41"/>
  <c r="AC50" i="41"/>
  <c r="AC54" i="41"/>
  <c r="AC46" i="41"/>
  <c r="AC40" i="41"/>
  <c r="AC45" i="41"/>
  <c r="AC51" i="41"/>
  <c r="AC44" i="41"/>
  <c r="AK52" i="41"/>
  <c r="AK46" i="41"/>
  <c r="AK50" i="41"/>
  <c r="AK45" i="41"/>
  <c r="AK40" i="41"/>
  <c r="AK55" i="41"/>
  <c r="AK51" i="41"/>
  <c r="AK41" i="41"/>
  <c r="AK44" i="41"/>
  <c r="AK54" i="41"/>
  <c r="AK53" i="41"/>
  <c r="AF40" i="41"/>
  <c r="AF50" i="41"/>
  <c r="AF45" i="41"/>
  <c r="AF53" i="41"/>
  <c r="AF46" i="41"/>
  <c r="AF41" i="41"/>
  <c r="AF44" i="41"/>
  <c r="AF51" i="41"/>
  <c r="AF55" i="41"/>
  <c r="AF52" i="41"/>
  <c r="AF54" i="41"/>
  <c r="AA50" i="41"/>
  <c r="AA44" i="41"/>
  <c r="AA46" i="41"/>
  <c r="AA51" i="41"/>
  <c r="AA54" i="41"/>
  <c r="AA40" i="41"/>
  <c r="AA55" i="41"/>
  <c r="AA41" i="41"/>
  <c r="AA52" i="41"/>
  <c r="AA45" i="41"/>
  <c r="AA53" i="41"/>
  <c r="AJ52" i="41"/>
  <c r="AJ54" i="41"/>
  <c r="AJ44" i="41"/>
  <c r="AJ50" i="41"/>
  <c r="AJ46" i="41"/>
  <c r="AJ41" i="41"/>
  <c r="AJ40" i="41"/>
  <c r="AJ51" i="41"/>
  <c r="AJ53" i="41"/>
  <c r="AJ45" i="41"/>
  <c r="AJ55" i="41"/>
  <c r="Z44" i="41"/>
  <c r="Z53" i="41"/>
  <c r="Z54" i="41"/>
  <c r="Z41" i="41"/>
  <c r="Z45" i="41"/>
  <c r="Z51" i="41"/>
  <c r="Z46" i="41"/>
  <c r="Z50" i="41"/>
  <c r="Z40" i="41"/>
  <c r="Z52" i="41"/>
  <c r="Z55" i="41"/>
  <c r="Y53" i="41"/>
  <c r="Y40" i="41"/>
  <c r="Y51" i="41"/>
  <c r="Y41" i="41"/>
  <c r="Y44" i="41"/>
  <c r="Y52" i="41"/>
  <c r="Y54" i="41"/>
  <c r="Y55" i="41"/>
  <c r="Y45" i="41"/>
  <c r="Y50" i="41"/>
  <c r="Y46" i="41"/>
  <c r="X45" i="41"/>
  <c r="X46" i="41"/>
  <c r="X55" i="41"/>
  <c r="X52" i="41"/>
  <c r="X51" i="41"/>
  <c r="X50" i="41"/>
  <c r="X53" i="41"/>
  <c r="X44" i="41"/>
  <c r="X40" i="41"/>
  <c r="X41" i="41"/>
  <c r="X54" i="41"/>
  <c r="AI50" i="41"/>
  <c r="AI54" i="41"/>
  <c r="AI41" i="41"/>
  <c r="AI52" i="41"/>
  <c r="AI53" i="41"/>
  <c r="AI40" i="41"/>
  <c r="AI55" i="41"/>
  <c r="AI51" i="41"/>
  <c r="AI46" i="41"/>
  <c r="AI45" i="41"/>
  <c r="AI44" i="41"/>
  <c r="AB52" i="41"/>
  <c r="AB53" i="41"/>
  <c r="AB41" i="41"/>
  <c r="AB50" i="41"/>
  <c r="AB46" i="41"/>
  <c r="AB45" i="41"/>
  <c r="AB51" i="41"/>
  <c r="AB44" i="41"/>
  <c r="AB40" i="41"/>
  <c r="AB55" i="41"/>
  <c r="AB54" i="41"/>
  <c r="AH52" i="42"/>
  <c r="AH53" i="42" s="1"/>
  <c r="AH43" i="42"/>
  <c r="AH45" i="42" s="1"/>
  <c r="AH86" i="42"/>
  <c r="AH88" i="42" s="1"/>
  <c r="AH90" i="42" s="1"/>
  <c r="AG86" i="42"/>
  <c r="AG88" i="42" s="1"/>
  <c r="AG90" i="42" s="1"/>
  <c r="AG43" i="42"/>
  <c r="AG45" i="42" s="1"/>
  <c r="AJ29" i="35" s="1"/>
  <c r="AG52" i="42"/>
  <c r="AG53" i="42" s="1"/>
  <c r="AJ37" i="35" s="1"/>
  <c r="Y43" i="42"/>
  <c r="Y45" i="42" s="1"/>
  <c r="AB29" i="35" s="1"/>
  <c r="Y86" i="42"/>
  <c r="Y88" i="42" s="1"/>
  <c r="Y90" i="42" s="1"/>
  <c r="Y52" i="42"/>
  <c r="Y53" i="42" s="1"/>
  <c r="AB37" i="35" s="1"/>
  <c r="Z86" i="42"/>
  <c r="Z88" i="42" s="1"/>
  <c r="Z90" i="42" s="1"/>
  <c r="Z52" i="42"/>
  <c r="Z53" i="42" s="1"/>
  <c r="AC37" i="35" s="1"/>
  <c r="Z43" i="42"/>
  <c r="Z45" i="42" s="1"/>
  <c r="AC29" i="35" s="1"/>
  <c r="AF43" i="42"/>
  <c r="AF45" i="42" s="1"/>
  <c r="AI29" i="35" s="1"/>
  <c r="AF86" i="42"/>
  <c r="AF88" i="42" s="1"/>
  <c r="AF90" i="42" s="1"/>
  <c r="AF52" i="42"/>
  <c r="AF53" i="42" s="1"/>
  <c r="AI37" i="35" s="1"/>
  <c r="X86" i="42"/>
  <c r="X88" i="42" s="1"/>
  <c r="X90" i="42" s="1"/>
  <c r="X43" i="42"/>
  <c r="X45" i="42" s="1"/>
  <c r="AA29" i="35" s="1"/>
  <c r="X52" i="42"/>
  <c r="X53" i="42" s="1"/>
  <c r="AA37" i="35" s="1"/>
  <c r="AE52" i="42"/>
  <c r="AE53" i="42" s="1"/>
  <c r="AH37" i="35" s="1"/>
  <c r="AE43" i="42"/>
  <c r="AE45" i="42" s="1"/>
  <c r="AH29" i="35" s="1"/>
  <c r="AE86" i="42"/>
  <c r="AE88" i="42" s="1"/>
  <c r="AE90" i="42" s="1"/>
  <c r="W43" i="42"/>
  <c r="W45" i="42" s="1"/>
  <c r="Z29" i="35" s="1"/>
  <c r="W86" i="42"/>
  <c r="W88" i="42" s="1"/>
  <c r="W90" i="42" s="1"/>
  <c r="W52" i="42"/>
  <c r="W53" i="42" s="1"/>
  <c r="Z37" i="35" s="1"/>
  <c r="V86" i="42"/>
  <c r="V88" i="42" s="1"/>
  <c r="V90" i="42" s="1"/>
  <c r="V52" i="42"/>
  <c r="V53" i="42" s="1"/>
  <c r="Y37" i="35" s="1"/>
  <c r="V43" i="42"/>
  <c r="V45" i="42" s="1"/>
  <c r="Y29" i="35" s="1"/>
  <c r="AK52" i="42"/>
  <c r="AK53" i="42" s="1"/>
  <c r="AK43" i="42"/>
  <c r="AK45" i="42" s="1"/>
  <c r="AK86" i="42"/>
  <c r="AK88" i="42" s="1"/>
  <c r="AK90" i="42" s="1"/>
  <c r="AC43" i="42"/>
  <c r="AC45" i="42" s="1"/>
  <c r="AF29" i="35" s="1"/>
  <c r="AC52" i="42"/>
  <c r="AC53" i="42" s="1"/>
  <c r="AF37" i="35" s="1"/>
  <c r="AC86" i="42"/>
  <c r="AC88" i="42" s="1"/>
  <c r="AC90" i="42" s="1"/>
  <c r="U52" i="42"/>
  <c r="U53" i="42" s="1"/>
  <c r="X37" i="35" s="1"/>
  <c r="U86" i="42"/>
  <c r="U88" i="42" s="1"/>
  <c r="U90" i="42" s="1"/>
  <c r="U43" i="42"/>
  <c r="U45" i="42" s="1"/>
  <c r="X29" i="35" s="1"/>
  <c r="AD43" i="42"/>
  <c r="AD45" i="42" s="1"/>
  <c r="AG29" i="35" s="1"/>
  <c r="AD86" i="42"/>
  <c r="AD88" i="42" s="1"/>
  <c r="AD90" i="42" s="1"/>
  <c r="AD52" i="42"/>
  <c r="AD53" i="42" s="1"/>
  <c r="AG37" i="35" s="1"/>
  <c r="AJ43" i="42"/>
  <c r="AJ45" i="42" s="1"/>
  <c r="AJ52" i="42"/>
  <c r="AJ53" i="42" s="1"/>
  <c r="AJ86" i="42"/>
  <c r="AJ88" i="42" s="1"/>
  <c r="AJ90" i="42" s="1"/>
  <c r="AB52" i="42"/>
  <c r="AB53" i="42" s="1"/>
  <c r="AE37" i="35" s="1"/>
  <c r="AB86" i="42"/>
  <c r="AB88" i="42" s="1"/>
  <c r="AB90" i="42" s="1"/>
  <c r="AB43" i="42"/>
  <c r="AB45" i="42" s="1"/>
  <c r="AE29" i="35" s="1"/>
  <c r="T52" i="42"/>
  <c r="T53" i="42" s="1"/>
  <c r="W37" i="35" s="1"/>
  <c r="T43" i="42"/>
  <c r="T45" i="42" s="1"/>
  <c r="W29" i="35" s="1"/>
  <c r="T86" i="42"/>
  <c r="T88" i="42" s="1"/>
  <c r="T90" i="42" s="1"/>
  <c r="AI52" i="42"/>
  <c r="AI53" i="42" s="1"/>
  <c r="AI86" i="42"/>
  <c r="AI88" i="42" s="1"/>
  <c r="AI90" i="42" s="1"/>
  <c r="AI43" i="42"/>
  <c r="AI45" i="42" s="1"/>
  <c r="AA86" i="42"/>
  <c r="AA88" i="42" s="1"/>
  <c r="AA90" i="42" s="1"/>
  <c r="AA43" i="42"/>
  <c r="AA45" i="42" s="1"/>
  <c r="AD29" i="35" s="1"/>
  <c r="AA52" i="42"/>
  <c r="AA53" i="42" s="1"/>
  <c r="AD37" i="35" s="1"/>
  <c r="S52" i="42"/>
  <c r="S53" i="42" s="1"/>
  <c r="V37" i="35" s="1"/>
  <c r="S43" i="42"/>
  <c r="S45" i="42" s="1"/>
  <c r="V29" i="35" s="1"/>
  <c r="S86" i="42"/>
  <c r="S88" i="42" s="1"/>
  <c r="S90" i="42" s="1"/>
  <c r="AA50" i="40"/>
  <c r="AA51" i="40" s="1"/>
  <c r="AD35" i="35" s="1"/>
  <c r="AA41" i="40"/>
  <c r="AA43" i="40" s="1"/>
  <c r="AD27" i="35" s="1"/>
  <c r="AA84" i="40"/>
  <c r="AA86" i="40" s="1"/>
  <c r="AA88" i="40" s="1"/>
  <c r="AI50" i="40"/>
  <c r="AI51" i="40" s="1"/>
  <c r="AI84" i="40"/>
  <c r="AI86" i="40" s="1"/>
  <c r="AI88" i="40" s="1"/>
  <c r="AI41" i="40"/>
  <c r="AI43" i="40" s="1"/>
  <c r="S50" i="40"/>
  <c r="S84" i="40"/>
  <c r="S86" i="40" s="1"/>
  <c r="S88" i="40" s="1"/>
  <c r="S41" i="40"/>
  <c r="S43" i="40" s="1"/>
  <c r="V27" i="35" s="1"/>
  <c r="AH84" i="40"/>
  <c r="AH86" i="40" s="1"/>
  <c r="AH88" i="40" s="1"/>
  <c r="AH50" i="40"/>
  <c r="AH51" i="40" s="1"/>
  <c r="AH41" i="40"/>
  <c r="AH43" i="40" s="1"/>
  <c r="Z41" i="40"/>
  <c r="Z43" i="40" s="1"/>
  <c r="AC27" i="35" s="1"/>
  <c r="Z84" i="40"/>
  <c r="Z86" i="40" s="1"/>
  <c r="Z88" i="40" s="1"/>
  <c r="Z50" i="40"/>
  <c r="Z51" i="40" s="1"/>
  <c r="AC35" i="35" s="1"/>
  <c r="AB41" i="40"/>
  <c r="AB43" i="40" s="1"/>
  <c r="AE27" i="35" s="1"/>
  <c r="AB84" i="40"/>
  <c r="AB86" i="40" s="1"/>
  <c r="AB88" i="40" s="1"/>
  <c r="AB50" i="40"/>
  <c r="AB51" i="40" s="1"/>
  <c r="AE35" i="35" s="1"/>
  <c r="T41" i="40"/>
  <c r="T43" i="40" s="1"/>
  <c r="W27" i="35" s="1"/>
  <c r="T50" i="40"/>
  <c r="T51" i="40" s="1"/>
  <c r="W35" i="35" s="1"/>
  <c r="T84" i="40"/>
  <c r="T86" i="40" s="1"/>
  <c r="T88" i="40" s="1"/>
  <c r="Y41" i="40"/>
  <c r="Y43" i="40" s="1"/>
  <c r="AB27" i="35" s="1"/>
  <c r="Y50" i="40"/>
  <c r="Y51" i="40" s="1"/>
  <c r="AB35" i="35" s="1"/>
  <c r="Y84" i="40"/>
  <c r="Y86" i="40" s="1"/>
  <c r="Y88" i="40" s="1"/>
  <c r="AF84" i="40"/>
  <c r="AF86" i="40" s="1"/>
  <c r="AF88" i="40" s="1"/>
  <c r="AF50" i="40"/>
  <c r="AF51" i="40" s="1"/>
  <c r="AI35" i="35" s="1"/>
  <c r="AF41" i="40"/>
  <c r="AF43" i="40" s="1"/>
  <c r="AI27" i="35" s="1"/>
  <c r="X41" i="40"/>
  <c r="X43" i="40" s="1"/>
  <c r="AA27" i="35" s="1"/>
  <c r="X50" i="40"/>
  <c r="X51" i="40" s="1"/>
  <c r="AA35" i="35" s="1"/>
  <c r="X84" i="40"/>
  <c r="X86" i="40" s="1"/>
  <c r="X88" i="40" s="1"/>
  <c r="S51" i="40"/>
  <c r="V35" i="35" s="1"/>
  <c r="AJ41" i="40"/>
  <c r="AJ43" i="40" s="1"/>
  <c r="AJ50" i="40"/>
  <c r="AJ51" i="40" s="1"/>
  <c r="AJ84" i="40"/>
  <c r="AJ86" i="40" s="1"/>
  <c r="AJ88" i="40" s="1"/>
  <c r="AG41" i="40"/>
  <c r="AG43" i="40" s="1"/>
  <c r="AJ27" i="35" s="1"/>
  <c r="AG50" i="40"/>
  <c r="AG51" i="40" s="1"/>
  <c r="AJ35" i="35" s="1"/>
  <c r="AG84" i="40"/>
  <c r="AG86" i="40" s="1"/>
  <c r="AG88" i="40" s="1"/>
  <c r="AE41" i="40"/>
  <c r="AE43" i="40" s="1"/>
  <c r="AH27" i="35" s="1"/>
  <c r="AE84" i="40"/>
  <c r="AE86" i="40" s="1"/>
  <c r="AE88" i="40" s="1"/>
  <c r="AE50" i="40"/>
  <c r="AE51" i="40" s="1"/>
  <c r="AH35" i="35" s="1"/>
  <c r="W41" i="40"/>
  <c r="W43" i="40" s="1"/>
  <c r="Z27" i="35" s="1"/>
  <c r="W50" i="40"/>
  <c r="W51" i="40" s="1"/>
  <c r="Z35" i="35" s="1"/>
  <c r="W84" i="40"/>
  <c r="W86" i="40" s="1"/>
  <c r="W88" i="40" s="1"/>
  <c r="AD41" i="40"/>
  <c r="AD43" i="40" s="1"/>
  <c r="AG27" i="35" s="1"/>
  <c r="AD50" i="40"/>
  <c r="AD51" i="40" s="1"/>
  <c r="AG35" i="35" s="1"/>
  <c r="AD84" i="40"/>
  <c r="AD86" i="40" s="1"/>
  <c r="AD88" i="40" s="1"/>
  <c r="V41" i="40"/>
  <c r="V43" i="40" s="1"/>
  <c r="Y27" i="35" s="1"/>
  <c r="V84" i="40"/>
  <c r="V86" i="40" s="1"/>
  <c r="V88" i="40" s="1"/>
  <c r="V50" i="40"/>
  <c r="V51" i="40" s="1"/>
  <c r="Y35" i="35" s="1"/>
  <c r="AK84" i="40"/>
  <c r="AK86" i="40" s="1"/>
  <c r="AK88" i="40" s="1"/>
  <c r="AK41" i="40"/>
  <c r="AK43" i="40" s="1"/>
  <c r="AK50" i="40"/>
  <c r="AK51" i="40" s="1"/>
  <c r="AC41" i="40"/>
  <c r="AC43" i="40" s="1"/>
  <c r="AF27" i="35" s="1"/>
  <c r="AC50" i="40"/>
  <c r="AC51" i="40" s="1"/>
  <c r="AF35" i="35" s="1"/>
  <c r="AC84" i="40"/>
  <c r="AC86" i="40" s="1"/>
  <c r="AC88" i="40" s="1"/>
  <c r="U41" i="40"/>
  <c r="U43" i="40" s="1"/>
  <c r="X27" i="35" s="1"/>
  <c r="U50" i="40"/>
  <c r="U51" i="40" s="1"/>
  <c r="X35" i="35" s="1"/>
  <c r="U84" i="40"/>
  <c r="U86" i="40" s="1"/>
  <c r="U88" i="40" s="1"/>
  <c r="M24" i="40"/>
  <c r="N52" i="42"/>
  <c r="N53" i="42" s="1"/>
  <c r="Q37" i="35" s="1"/>
  <c r="N43" i="42"/>
  <c r="N45" i="42" s="1"/>
  <c r="Q29" i="35" s="1"/>
  <c r="N86" i="42"/>
  <c r="N88" i="42" s="1"/>
  <c r="N90" i="42" s="1"/>
  <c r="R52" i="42"/>
  <c r="R53" i="42" s="1"/>
  <c r="U37" i="35" s="1"/>
  <c r="R43" i="42"/>
  <c r="R45" i="42" s="1"/>
  <c r="U29" i="35" s="1"/>
  <c r="R86" i="42"/>
  <c r="R88" i="42" s="1"/>
  <c r="R90" i="42" s="1"/>
  <c r="K86" i="42"/>
  <c r="K88" i="42" s="1"/>
  <c r="K90" i="42" s="1"/>
  <c r="K52" i="42"/>
  <c r="K53" i="42" s="1"/>
  <c r="N37" i="35" s="1"/>
  <c r="K43" i="42"/>
  <c r="K45" i="42" s="1"/>
  <c r="N29" i="35" s="1"/>
  <c r="P40" i="41"/>
  <c r="P53" i="41"/>
  <c r="P46" i="41"/>
  <c r="P45" i="41"/>
  <c r="P50" i="41"/>
  <c r="P44" i="41"/>
  <c r="P51" i="41"/>
  <c r="P55" i="41"/>
  <c r="P54" i="41"/>
  <c r="P41" i="41"/>
  <c r="P52" i="41"/>
  <c r="M45" i="41"/>
  <c r="M52" i="41"/>
  <c r="M44" i="41"/>
  <c r="M40" i="41"/>
  <c r="M53" i="41"/>
  <c r="M41" i="41"/>
  <c r="M51" i="41"/>
  <c r="M50" i="41"/>
  <c r="M54" i="41"/>
  <c r="M46" i="41"/>
  <c r="M55" i="41"/>
  <c r="L54" i="41"/>
  <c r="L45" i="41"/>
  <c r="L55" i="41"/>
  <c r="L41" i="41"/>
  <c r="L50" i="41"/>
  <c r="L44" i="41"/>
  <c r="L52" i="41"/>
  <c r="L46" i="41"/>
  <c r="L40" i="41"/>
  <c r="L51" i="41"/>
  <c r="L53" i="41"/>
  <c r="J53" i="41"/>
  <c r="J55" i="41"/>
  <c r="J51" i="41"/>
  <c r="J40" i="41"/>
  <c r="J44" i="41"/>
  <c r="J41" i="41"/>
  <c r="J50" i="41"/>
  <c r="J45" i="41"/>
  <c r="J54" i="41"/>
  <c r="J46" i="41"/>
  <c r="J52" i="41"/>
  <c r="H50" i="40"/>
  <c r="H51" i="40" s="1"/>
  <c r="H41" i="40"/>
  <c r="H43" i="40" s="1"/>
  <c r="K27" i="35" s="1"/>
  <c r="H84" i="40"/>
  <c r="H86" i="40" s="1"/>
  <c r="H88" i="40" s="1"/>
  <c r="R6" i="41"/>
  <c r="I43" i="42"/>
  <c r="I45" i="42" s="1"/>
  <c r="L29" i="35" s="1"/>
  <c r="I86" i="42"/>
  <c r="I88" i="42" s="1"/>
  <c r="I90" i="42" s="1"/>
  <c r="I52" i="42"/>
  <c r="I53" i="42" s="1"/>
  <c r="L37" i="35" s="1"/>
  <c r="M52" i="42"/>
  <c r="M53" i="42" s="1"/>
  <c r="P37" i="35" s="1"/>
  <c r="M43" i="42"/>
  <c r="M45" i="42" s="1"/>
  <c r="P29" i="35" s="1"/>
  <c r="M86" i="42"/>
  <c r="M88" i="42" s="1"/>
  <c r="M90" i="42" s="1"/>
  <c r="R50" i="40"/>
  <c r="R51" i="40" s="1"/>
  <c r="U35" i="35" s="1"/>
  <c r="R84" i="40"/>
  <c r="R86" i="40" s="1"/>
  <c r="R88" i="40" s="1"/>
  <c r="R41" i="40"/>
  <c r="R43" i="40" s="1"/>
  <c r="U27" i="35" s="1"/>
  <c r="I50" i="40"/>
  <c r="I51" i="40" s="1"/>
  <c r="L35" i="35" s="1"/>
  <c r="I84" i="40"/>
  <c r="I86" i="40" s="1"/>
  <c r="I88" i="40" s="1"/>
  <c r="I41" i="40"/>
  <c r="I43" i="40" s="1"/>
  <c r="L27" i="35" s="1"/>
  <c r="Q52" i="42"/>
  <c r="Q53" i="42" s="1"/>
  <c r="T37" i="35" s="1"/>
  <c r="Q43" i="42"/>
  <c r="Q45" i="42" s="1"/>
  <c r="T29" i="35" s="1"/>
  <c r="Q86" i="42"/>
  <c r="Q88" i="42" s="1"/>
  <c r="Q90" i="42" s="1"/>
  <c r="P86" i="42"/>
  <c r="P88" i="42" s="1"/>
  <c r="P90" i="42" s="1"/>
  <c r="P52" i="42"/>
  <c r="P53" i="42" s="1"/>
  <c r="S37" i="35" s="1"/>
  <c r="P43" i="42"/>
  <c r="P45" i="42" s="1"/>
  <c r="S29" i="35" s="1"/>
  <c r="Q54" i="41"/>
  <c r="Q44" i="41"/>
  <c r="Q53" i="41"/>
  <c r="Q45" i="41"/>
  <c r="Q51" i="41"/>
  <c r="Q46" i="41"/>
  <c r="Q55" i="41"/>
  <c r="Q41" i="41"/>
  <c r="Q50" i="41"/>
  <c r="Q52" i="41"/>
  <c r="Q40" i="41"/>
  <c r="Q84" i="40"/>
  <c r="Q86" i="40" s="1"/>
  <c r="Q88" i="40" s="1"/>
  <c r="Q41" i="40"/>
  <c r="Q43" i="40" s="1"/>
  <c r="T27" i="35" s="1"/>
  <c r="Q50" i="40"/>
  <c r="Q51" i="40" s="1"/>
  <c r="T35" i="35" s="1"/>
  <c r="K41" i="40"/>
  <c r="K43" i="40" s="1"/>
  <c r="N27" i="35" s="1"/>
  <c r="K50" i="40"/>
  <c r="K51" i="40" s="1"/>
  <c r="N35" i="35" s="1"/>
  <c r="K84" i="40"/>
  <c r="K86" i="40" s="1"/>
  <c r="K88" i="40" s="1"/>
  <c r="I52" i="41"/>
  <c r="I40" i="41"/>
  <c r="I44" i="41"/>
  <c r="I41" i="41"/>
  <c r="I50" i="41"/>
  <c r="I54" i="41"/>
  <c r="I51" i="41"/>
  <c r="I45" i="41"/>
  <c r="I46" i="41"/>
  <c r="I53" i="41"/>
  <c r="I55" i="41"/>
  <c r="J41" i="40"/>
  <c r="J43" i="40" s="1"/>
  <c r="M27" i="35" s="1"/>
  <c r="J50" i="40"/>
  <c r="J51" i="40" s="1"/>
  <c r="M35" i="35" s="1"/>
  <c r="J84" i="40"/>
  <c r="J86" i="40" s="1"/>
  <c r="J88" i="40" s="1"/>
  <c r="L52" i="42"/>
  <c r="L53" i="42" s="1"/>
  <c r="O37" i="35" s="1"/>
  <c r="L43" i="42"/>
  <c r="L45" i="42" s="1"/>
  <c r="O29" i="35" s="1"/>
  <c r="L86" i="42"/>
  <c r="L88" i="42" s="1"/>
  <c r="L90" i="42" s="1"/>
  <c r="O86" i="42"/>
  <c r="O88" i="42" s="1"/>
  <c r="O90" i="42" s="1"/>
  <c r="O52" i="42"/>
  <c r="O53" i="42" s="1"/>
  <c r="R37" i="35" s="1"/>
  <c r="O43" i="42"/>
  <c r="O45" i="42" s="1"/>
  <c r="R29" i="35" s="1"/>
  <c r="H52" i="42"/>
  <c r="H53" i="42" s="1"/>
  <c r="H86" i="42"/>
  <c r="H88" i="42" s="1"/>
  <c r="H90" i="42" s="1"/>
  <c r="H43" i="42"/>
  <c r="H45" i="42" s="1"/>
  <c r="K29" i="35" s="1"/>
  <c r="P41" i="40"/>
  <c r="P43" i="40" s="1"/>
  <c r="S27" i="35" s="1"/>
  <c r="P50" i="40"/>
  <c r="P51" i="40" s="1"/>
  <c r="S35" i="35" s="1"/>
  <c r="P84" i="40"/>
  <c r="P86" i="40" s="1"/>
  <c r="P88" i="40" s="1"/>
  <c r="O84" i="40"/>
  <c r="O86" i="40" s="1"/>
  <c r="O88" i="40" s="1"/>
  <c r="O41" i="40"/>
  <c r="O43" i="40" s="1"/>
  <c r="R27" i="35" s="1"/>
  <c r="O50" i="40"/>
  <c r="O51" i="40" s="1"/>
  <c r="R35" i="35" s="1"/>
  <c r="J86" i="42"/>
  <c r="J88" i="42" s="1"/>
  <c r="J90" i="42" s="1"/>
  <c r="J43" i="42"/>
  <c r="J45" i="42" s="1"/>
  <c r="M29" i="35" s="1"/>
  <c r="J52" i="42"/>
  <c r="J53" i="42" s="1"/>
  <c r="M37" i="35" s="1"/>
  <c r="N84" i="40"/>
  <c r="N86" i="40" s="1"/>
  <c r="N88" i="40" s="1"/>
  <c r="N41" i="40"/>
  <c r="N43" i="40" s="1"/>
  <c r="Q27" i="35" s="1"/>
  <c r="N50" i="40"/>
  <c r="N51" i="40" s="1"/>
  <c r="Q35" i="35" s="1"/>
  <c r="O44" i="41"/>
  <c r="O51" i="41"/>
  <c r="O40" i="41"/>
  <c r="O55" i="41"/>
  <c r="O41" i="41"/>
  <c r="O52" i="41"/>
  <c r="O45" i="41"/>
  <c r="O53" i="41"/>
  <c r="O50" i="41"/>
  <c r="O46" i="41"/>
  <c r="O54" i="41"/>
  <c r="R53" i="41"/>
  <c r="R44" i="41"/>
  <c r="R45" i="41"/>
  <c r="R40" i="41"/>
  <c r="R52" i="41"/>
  <c r="R55" i="41"/>
  <c r="R50" i="41"/>
  <c r="R54" i="41"/>
  <c r="R41" i="41"/>
  <c r="R51" i="41"/>
  <c r="R46" i="41"/>
  <c r="N51" i="41"/>
  <c r="N40" i="41"/>
  <c r="N52" i="41"/>
  <c r="N50" i="41"/>
  <c r="N41" i="41"/>
  <c r="N54" i="41"/>
  <c r="N44" i="41"/>
  <c r="N46" i="41"/>
  <c r="N45" i="41"/>
  <c r="N53" i="41"/>
  <c r="N55" i="41"/>
  <c r="K52" i="41"/>
  <c r="K50" i="41"/>
  <c r="K54" i="41"/>
  <c r="K44" i="41"/>
  <c r="K40" i="41"/>
  <c r="K51" i="41"/>
  <c r="K45" i="41"/>
  <c r="K53" i="41"/>
  <c r="K55" i="41"/>
  <c r="K46" i="41"/>
  <c r="K41" i="41"/>
  <c r="M84" i="40"/>
  <c r="M86" i="40" s="1"/>
  <c r="M88" i="40" s="1"/>
  <c r="M50" i="40"/>
  <c r="M51" i="40" s="1"/>
  <c r="P35" i="35" s="1"/>
  <c r="M41" i="40"/>
  <c r="M43" i="40" s="1"/>
  <c r="P27" i="35" s="1"/>
  <c r="M24" i="42"/>
  <c r="L50" i="40"/>
  <c r="L51" i="40" s="1"/>
  <c r="O35" i="35" s="1"/>
  <c r="L84" i="40"/>
  <c r="L86" i="40" s="1"/>
  <c r="L88" i="40" s="1"/>
  <c r="L41" i="40"/>
  <c r="L43" i="40" s="1"/>
  <c r="O27" i="35" s="1"/>
  <c r="H52" i="41"/>
  <c r="H45" i="41"/>
  <c r="H54" i="41"/>
  <c r="H46" i="41"/>
  <c r="H51" i="41"/>
  <c r="H41" i="41"/>
  <c r="H40" i="41"/>
  <c r="H55" i="41"/>
  <c r="H44" i="41"/>
  <c r="H50" i="41"/>
  <c r="H53" i="41"/>
  <c r="G69" i="35"/>
  <c r="G74" i="35" s="1"/>
  <c r="I12" i="35"/>
  <c r="H18" i="35"/>
  <c r="H45" i="28" s="1"/>
  <c r="V53" i="47" l="1"/>
  <c r="AJ48" i="47"/>
  <c r="AJ53" i="47"/>
  <c r="H53" i="47"/>
  <c r="AF48" i="47"/>
  <c r="AI28" i="44" s="1"/>
  <c r="Y57" i="45"/>
  <c r="X53" i="47"/>
  <c r="H55" i="45"/>
  <c r="H58" i="45" s="1"/>
  <c r="V62" i="47"/>
  <c r="Y36" i="44" s="1"/>
  <c r="AD62" i="47"/>
  <c r="K48" i="47"/>
  <c r="N28" i="44" s="1"/>
  <c r="AJ62" i="47"/>
  <c r="I57" i="45"/>
  <c r="I58" i="45" s="1"/>
  <c r="I62" i="45" s="1"/>
  <c r="R62" i="47"/>
  <c r="T53" i="47"/>
  <c r="AB53" i="47"/>
  <c r="AD48" i="47"/>
  <c r="AG28" i="44" s="1"/>
  <c r="K53" i="47"/>
  <c r="AB62" i="47"/>
  <c r="K62" i="47"/>
  <c r="AD53" i="47"/>
  <c r="V48" i="47"/>
  <c r="Y28" i="44" s="1"/>
  <c r="L62" i="47"/>
  <c r="L53" i="47"/>
  <c r="L20" i="57"/>
  <c r="L18" i="57"/>
  <c r="L19" i="57"/>
  <c r="D21" i="44"/>
  <c r="H17" i="43" s="1"/>
  <c r="M41" i="56" s="1"/>
  <c r="R48" i="47"/>
  <c r="U28" i="44" s="1"/>
  <c r="L48" i="47"/>
  <c r="O28" i="44" s="1"/>
  <c r="H62" i="47"/>
  <c r="R53" i="47"/>
  <c r="Z53" i="47"/>
  <c r="T48" i="47"/>
  <c r="W28" i="44" s="1"/>
  <c r="X48" i="47"/>
  <c r="AA28" i="44" s="1"/>
  <c r="AF62" i="47"/>
  <c r="N48" i="47"/>
  <c r="Q28" i="44" s="1"/>
  <c r="Z62" i="47"/>
  <c r="AK53" i="47"/>
  <c r="AC53" i="47"/>
  <c r="AG57" i="45"/>
  <c r="AC62" i="47"/>
  <c r="X62" i="47"/>
  <c r="N62" i="47"/>
  <c r="N53" i="47"/>
  <c r="AG55" i="45"/>
  <c r="W55" i="45"/>
  <c r="W57" i="45"/>
  <c r="AC48" i="47"/>
  <c r="AF28" i="44" s="1"/>
  <c r="AK57" i="45"/>
  <c r="AK55" i="45"/>
  <c r="Y55" i="45"/>
  <c r="AC71" i="39"/>
  <c r="AC72" i="39"/>
  <c r="AC60" i="39"/>
  <c r="AC86" i="39"/>
  <c r="AC87" i="39"/>
  <c r="AC62" i="39"/>
  <c r="AD39" i="39"/>
  <c r="AB74" i="39"/>
  <c r="Z48" i="47"/>
  <c r="AC28" i="44" s="1"/>
  <c r="T62" i="47"/>
  <c r="F46" i="28"/>
  <c r="F54" i="28" s="1"/>
  <c r="K22" i="28"/>
  <c r="K20" i="28"/>
  <c r="L20" i="28"/>
  <c r="P53" i="47"/>
  <c r="M55" i="45"/>
  <c r="P48" i="47"/>
  <c r="S28" i="44" s="1"/>
  <c r="O55" i="45"/>
  <c r="O57" i="45"/>
  <c r="P36" i="44"/>
  <c r="R36" i="44"/>
  <c r="AD36" i="44"/>
  <c r="AK62" i="47"/>
  <c r="P62" i="47"/>
  <c r="T36" i="44"/>
  <c r="K57" i="45"/>
  <c r="N25" i="44"/>
  <c r="AH36" i="44"/>
  <c r="AE55" i="45"/>
  <c r="AE57" i="45"/>
  <c r="V36" i="44"/>
  <c r="AJ36" i="44"/>
  <c r="Z57" i="45"/>
  <c r="AB36" i="44"/>
  <c r="Z36" i="44"/>
  <c r="X36" i="44"/>
  <c r="M22" i="28"/>
  <c r="N22" i="28"/>
  <c r="P22" i="28"/>
  <c r="O22" i="28"/>
  <c r="L22" i="28"/>
  <c r="V55" i="45"/>
  <c r="AB57" i="45"/>
  <c r="AB55" i="45"/>
  <c r="N55" i="45"/>
  <c r="AC57" i="45"/>
  <c r="AC55" i="45"/>
  <c r="Z55" i="45"/>
  <c r="AH57" i="45"/>
  <c r="AH58" i="45" s="1"/>
  <c r="U55" i="45"/>
  <c r="U57" i="45"/>
  <c r="V57" i="45"/>
  <c r="T57" i="45"/>
  <c r="T55" i="45"/>
  <c r="AJ57" i="45"/>
  <c r="AJ58" i="45" s="1"/>
  <c r="AA55" i="45"/>
  <c r="S57" i="45"/>
  <c r="Q55" i="45"/>
  <c r="N57" i="45"/>
  <c r="AD55" i="45"/>
  <c r="P57" i="45"/>
  <c r="M57" i="45"/>
  <c r="R57" i="45"/>
  <c r="X57" i="45"/>
  <c r="L55" i="45"/>
  <c r="I64" i="47"/>
  <c r="I67" i="47" s="1"/>
  <c r="I71" i="47" s="1"/>
  <c r="AD42" i="41"/>
  <c r="AG28" i="35" s="1"/>
  <c r="Q57" i="45"/>
  <c r="H61" i="48"/>
  <c r="H65" i="48" s="1"/>
  <c r="S55" i="45"/>
  <c r="AE64" i="47"/>
  <c r="AI64" i="47"/>
  <c r="AA57" i="45"/>
  <c r="AD57" i="45"/>
  <c r="AI57" i="45"/>
  <c r="AI58" i="45" s="1"/>
  <c r="P55" i="45"/>
  <c r="U64" i="47"/>
  <c r="X55" i="45"/>
  <c r="K55" i="45"/>
  <c r="AB42" i="41"/>
  <c r="AE28" i="35" s="1"/>
  <c r="S42" i="41"/>
  <c r="V28" i="35" s="1"/>
  <c r="W42" i="41"/>
  <c r="Z28" i="35" s="1"/>
  <c r="W64" i="47"/>
  <c r="AA42" i="41"/>
  <c r="AD28" i="35" s="1"/>
  <c r="AH64" i="47"/>
  <c r="R55" i="45"/>
  <c r="AH42" i="41"/>
  <c r="L57" i="45"/>
  <c r="Q63" i="48"/>
  <c r="Q64" i="48" s="1"/>
  <c r="R65" i="48"/>
  <c r="J55" i="45"/>
  <c r="J57" i="45"/>
  <c r="AF55" i="45"/>
  <c r="AF57" i="45"/>
  <c r="S64" i="47"/>
  <c r="O64" i="47"/>
  <c r="O67" i="47" s="1"/>
  <c r="O71" i="47" s="1"/>
  <c r="L40" i="44"/>
  <c r="Y64" i="47"/>
  <c r="AA64" i="47"/>
  <c r="Q64" i="47"/>
  <c r="Q67" i="47" s="1"/>
  <c r="AG42" i="41"/>
  <c r="AJ28" i="35" s="1"/>
  <c r="J64" i="47"/>
  <c r="J67" i="47" s="1"/>
  <c r="J71" i="47" s="1"/>
  <c r="V47" i="41"/>
  <c r="M64" i="47"/>
  <c r="M67" i="47" s="1"/>
  <c r="M71" i="47" s="1"/>
  <c r="AG64" i="47"/>
  <c r="AC56" i="41"/>
  <c r="U42" i="41"/>
  <c r="X28" i="35" s="1"/>
  <c r="AK42" i="41"/>
  <c r="AJ55" i="42"/>
  <c r="Z42" i="41"/>
  <c r="AC28" i="35" s="1"/>
  <c r="AF42" i="41"/>
  <c r="AI28" i="35" s="1"/>
  <c r="AC42" i="41"/>
  <c r="AF28" i="35" s="1"/>
  <c r="AE42" i="41"/>
  <c r="AH28" i="35" s="1"/>
  <c r="Y42" i="41"/>
  <c r="AB28" i="35" s="1"/>
  <c r="T42" i="41"/>
  <c r="W28" i="35" s="1"/>
  <c r="U56" i="41"/>
  <c r="AB47" i="41"/>
  <c r="T47" i="41"/>
  <c r="Z56" i="41"/>
  <c r="AH55" i="42"/>
  <c r="Z47" i="41"/>
  <c r="AJ42" i="41"/>
  <c r="V42" i="41"/>
  <c r="Y28" i="35" s="1"/>
  <c r="AD56" i="41"/>
  <c r="AI55" i="42"/>
  <c r="AI42" i="41"/>
  <c r="X42" i="41"/>
  <c r="AA28" i="35" s="1"/>
  <c r="S47" i="41"/>
  <c r="AJ47" i="41"/>
  <c r="AI47" i="41"/>
  <c r="X56" i="41"/>
  <c r="AB56" i="41"/>
  <c r="AK56" i="41"/>
  <c r="AA47" i="41"/>
  <c r="X47" i="41"/>
  <c r="Y47" i="41"/>
  <c r="AK47" i="41"/>
  <c r="AE47" i="41"/>
  <c r="V56" i="41"/>
  <c r="AJ56" i="41"/>
  <c r="AC47" i="41"/>
  <c r="AH47" i="41"/>
  <c r="AE56" i="41"/>
  <c r="AF56" i="41"/>
  <c r="T56" i="41"/>
  <c r="Y56" i="41"/>
  <c r="AD47" i="41"/>
  <c r="AH56" i="41"/>
  <c r="AG56" i="41"/>
  <c r="AJ53" i="40"/>
  <c r="AI56" i="41"/>
  <c r="AA56" i="41"/>
  <c r="AF47" i="41"/>
  <c r="U47" i="41"/>
  <c r="AG47" i="41"/>
  <c r="S56" i="41"/>
  <c r="W56" i="41"/>
  <c r="W47" i="41"/>
  <c r="AA55" i="42"/>
  <c r="AD55" i="42"/>
  <c r="AK55" i="42"/>
  <c r="W55" i="42"/>
  <c r="X55" i="42"/>
  <c r="AG55" i="42"/>
  <c r="U55" i="42"/>
  <c r="AE55" i="42"/>
  <c r="T55" i="42"/>
  <c r="V55" i="42"/>
  <c r="Y55" i="42"/>
  <c r="AF55" i="42"/>
  <c r="S55" i="42"/>
  <c r="AB55" i="42"/>
  <c r="AC55" i="42"/>
  <c r="Z55" i="42"/>
  <c r="S53" i="40"/>
  <c r="U53" i="40"/>
  <c r="X53" i="40"/>
  <c r="Z53" i="40"/>
  <c r="V53" i="40"/>
  <c r="AC53" i="40"/>
  <c r="T53" i="40"/>
  <c r="AE53" i="40"/>
  <c r="AD53" i="40"/>
  <c r="AK53" i="40"/>
  <c r="AH53" i="40"/>
  <c r="AF53" i="40"/>
  <c r="AB53" i="40"/>
  <c r="Y53" i="40"/>
  <c r="AG53" i="40"/>
  <c r="W53" i="40"/>
  <c r="AA53" i="40"/>
  <c r="AI53" i="40"/>
  <c r="H69" i="35"/>
  <c r="H74" i="35" s="1"/>
  <c r="G72" i="35"/>
  <c r="J42" i="41"/>
  <c r="M28" i="35" s="1"/>
  <c r="I42" i="41"/>
  <c r="L28" i="35" s="1"/>
  <c r="H42" i="41"/>
  <c r="K28" i="35" s="1"/>
  <c r="Q42" i="41"/>
  <c r="T28" i="35" s="1"/>
  <c r="P42" i="41"/>
  <c r="S28" i="35" s="1"/>
  <c r="L42" i="41"/>
  <c r="O28" i="35" s="1"/>
  <c r="K55" i="42"/>
  <c r="K61" i="42" s="1"/>
  <c r="K65" i="42" s="1"/>
  <c r="R42" i="41"/>
  <c r="U28" i="35" s="1"/>
  <c r="J55" i="42"/>
  <c r="J61" i="42" s="1"/>
  <c r="J65" i="42" s="1"/>
  <c r="N55" i="42"/>
  <c r="N61" i="42" s="1"/>
  <c r="N65" i="42" s="1"/>
  <c r="M55" i="42"/>
  <c r="M61" i="42" s="1"/>
  <c r="M65" i="42" s="1"/>
  <c r="L53" i="40"/>
  <c r="L59" i="40" s="1"/>
  <c r="L63" i="40" s="1"/>
  <c r="H53" i="40"/>
  <c r="N42" i="41"/>
  <c r="Q28" i="35" s="1"/>
  <c r="R47" i="41"/>
  <c r="P53" i="40"/>
  <c r="P59" i="40" s="1"/>
  <c r="P63" i="40" s="1"/>
  <c r="I53" i="40"/>
  <c r="I59" i="40" s="1"/>
  <c r="I63" i="40" s="1"/>
  <c r="O42" i="41"/>
  <c r="R28" i="35" s="1"/>
  <c r="M42" i="41"/>
  <c r="P28" i="35" s="1"/>
  <c r="M53" i="40"/>
  <c r="M59" i="40" s="1"/>
  <c r="M63" i="40" s="1"/>
  <c r="I47" i="41"/>
  <c r="Q53" i="40"/>
  <c r="Q59" i="40" s="1"/>
  <c r="L47" i="41"/>
  <c r="K42" i="41"/>
  <c r="N28" i="35" s="1"/>
  <c r="L56" i="41"/>
  <c r="H47" i="41"/>
  <c r="N53" i="40"/>
  <c r="N59" i="40" s="1"/>
  <c r="N63" i="40" s="1"/>
  <c r="O55" i="42"/>
  <c r="O61" i="42" s="1"/>
  <c r="O65" i="42" s="1"/>
  <c r="R55" i="42"/>
  <c r="R61" i="42" s="1"/>
  <c r="Q63" i="42" s="1"/>
  <c r="Q64" i="42" s="1"/>
  <c r="K56" i="41"/>
  <c r="H56" i="40"/>
  <c r="K35" i="35" s="1"/>
  <c r="J56" i="41"/>
  <c r="P56" i="41"/>
  <c r="H58" i="42"/>
  <c r="K37" i="35" s="1"/>
  <c r="J22" i="28" s="1"/>
  <c r="M56" i="41"/>
  <c r="N56" i="41"/>
  <c r="P55" i="42"/>
  <c r="P61" i="42" s="1"/>
  <c r="P65" i="42" s="1"/>
  <c r="J47" i="41"/>
  <c r="H56" i="41"/>
  <c r="R56" i="41"/>
  <c r="J53" i="40"/>
  <c r="J59" i="40" s="1"/>
  <c r="J63" i="40" s="1"/>
  <c r="Q47" i="41"/>
  <c r="K47" i="41"/>
  <c r="O56" i="41"/>
  <c r="O47" i="41"/>
  <c r="H55" i="42"/>
  <c r="I56" i="41"/>
  <c r="K53" i="40"/>
  <c r="K59" i="40" s="1"/>
  <c r="K63" i="40" s="1"/>
  <c r="Q56" i="41"/>
  <c r="I55" i="42"/>
  <c r="I61" i="42" s="1"/>
  <c r="I65" i="42" s="1"/>
  <c r="M47" i="41"/>
  <c r="N47" i="41"/>
  <c r="O53" i="40"/>
  <c r="O59" i="40" s="1"/>
  <c r="O63" i="40" s="1"/>
  <c r="L55" i="42"/>
  <c r="L61" i="42" s="1"/>
  <c r="L65" i="42" s="1"/>
  <c r="Q55" i="42"/>
  <c r="Q61" i="42" s="1"/>
  <c r="R53" i="40"/>
  <c r="R59" i="40" s="1"/>
  <c r="P47" i="41"/>
  <c r="J12" i="35"/>
  <c r="I18" i="35"/>
  <c r="I45" i="28" s="1"/>
  <c r="AF64" i="47" l="1"/>
  <c r="AJ64" i="47"/>
  <c r="H64" i="47"/>
  <c r="H67" i="47" s="1"/>
  <c r="H71" i="47" s="1"/>
  <c r="O36" i="44"/>
  <c r="AA36" i="44"/>
  <c r="AB64" i="47"/>
  <c r="AB33" i="44"/>
  <c r="AG36" i="44"/>
  <c r="U36" i="44"/>
  <c r="AE36" i="44"/>
  <c r="AD64" i="47"/>
  <c r="AF36" i="44"/>
  <c r="AG58" i="45"/>
  <c r="N36" i="44"/>
  <c r="V64" i="47"/>
  <c r="AJ33" i="44"/>
  <c r="K64" i="47"/>
  <c r="K67" i="47" s="1"/>
  <c r="K71" i="47" s="1"/>
  <c r="R64" i="47"/>
  <c r="R67" i="47" s="1"/>
  <c r="R71" i="47" s="1"/>
  <c r="AI36" i="44"/>
  <c r="L64" i="47"/>
  <c r="L67" i="47" s="1"/>
  <c r="L71" i="47" s="1"/>
  <c r="J17" i="43"/>
  <c r="O41" i="56" s="1"/>
  <c r="T64" i="47"/>
  <c r="AC36" i="44"/>
  <c r="Z64" i="47"/>
  <c r="AK64" i="47"/>
  <c r="Q36" i="44"/>
  <c r="N64" i="47"/>
  <c r="N67" i="47" s="1"/>
  <c r="N71" i="47" s="1"/>
  <c r="X64" i="47"/>
  <c r="AK58" i="45"/>
  <c r="W58" i="45"/>
  <c r="W36" i="44"/>
  <c r="O58" i="45"/>
  <c r="O62" i="45" s="1"/>
  <c r="Z33" i="44"/>
  <c r="AC64" i="47"/>
  <c r="Y58" i="45"/>
  <c r="AD86" i="39"/>
  <c r="AD72" i="39"/>
  <c r="AD87" i="39"/>
  <c r="AE39" i="39"/>
  <c r="AD62" i="39"/>
  <c r="AD74" i="39" s="1"/>
  <c r="AD71" i="39"/>
  <c r="AD60" i="39"/>
  <c r="AC74" i="39"/>
  <c r="AB58" i="45"/>
  <c r="AC58" i="45"/>
  <c r="AF33" i="44"/>
  <c r="AC33" i="44"/>
  <c r="S36" i="44"/>
  <c r="V33" i="44"/>
  <c r="P33" i="44"/>
  <c r="AE58" i="45"/>
  <c r="P64" i="47"/>
  <c r="P67" i="47" s="1"/>
  <c r="P71" i="47" s="1"/>
  <c r="AI33" i="44"/>
  <c r="U58" i="45"/>
  <c r="X33" i="44"/>
  <c r="Q33" i="44"/>
  <c r="AE33" i="44"/>
  <c r="AA33" i="44"/>
  <c r="T58" i="45"/>
  <c r="Y33" i="44"/>
  <c r="R33" i="44"/>
  <c r="V58" i="45"/>
  <c r="AH33" i="44"/>
  <c r="AG33" i="44"/>
  <c r="S33" i="44"/>
  <c r="U33" i="44"/>
  <c r="T33" i="44"/>
  <c r="O33" i="44"/>
  <c r="K58" i="45"/>
  <c r="K62" i="45" s="1"/>
  <c r="N33" i="44"/>
  <c r="AD33" i="44"/>
  <c r="W33" i="44"/>
  <c r="AI36" i="35"/>
  <c r="P36" i="35"/>
  <c r="O21" i="28" s="1"/>
  <c r="Q36" i="35"/>
  <c r="AJ36" i="35"/>
  <c r="AH36" i="35"/>
  <c r="N36" i="35"/>
  <c r="X36" i="35"/>
  <c r="AF36" i="35"/>
  <c r="Z36" i="35"/>
  <c r="S36" i="35"/>
  <c r="T36" i="35"/>
  <c r="AC36" i="35"/>
  <c r="R36" i="35"/>
  <c r="AD36" i="35"/>
  <c r="L36" i="35"/>
  <c r="K21" i="28" s="1"/>
  <c r="V36" i="35"/>
  <c r="K36" i="35"/>
  <c r="J21" i="28" s="1"/>
  <c r="W36" i="35"/>
  <c r="AE36" i="35"/>
  <c r="AB36" i="35"/>
  <c r="Y36" i="35"/>
  <c r="M36" i="35"/>
  <c r="L21" i="28" s="1"/>
  <c r="O36" i="35"/>
  <c r="N21" i="28" s="1"/>
  <c r="U36" i="35"/>
  <c r="AG36" i="35"/>
  <c r="AA36" i="35"/>
  <c r="J20" i="28"/>
  <c r="P58" i="45"/>
  <c r="P62" i="45" s="1"/>
  <c r="Z58" i="45"/>
  <c r="K42" i="44"/>
  <c r="K43" i="44" s="1"/>
  <c r="N58" i="45"/>
  <c r="N62" i="45" s="1"/>
  <c r="AA58" i="45"/>
  <c r="S58" i="45"/>
  <c r="AD58" i="45"/>
  <c r="M58" i="45"/>
  <c r="M62" i="45" s="1"/>
  <c r="L58" i="45"/>
  <c r="L62" i="45" s="1"/>
  <c r="R58" i="45"/>
  <c r="Q60" i="45" s="1"/>
  <c r="Q58" i="45"/>
  <c r="X58" i="45"/>
  <c r="V58" i="41"/>
  <c r="Q65" i="48"/>
  <c r="G68" i="48" s="1"/>
  <c r="AB58" i="41"/>
  <c r="J58" i="45"/>
  <c r="J62" i="45" s="1"/>
  <c r="M42" i="44"/>
  <c r="M43" i="44" s="1"/>
  <c r="G29" i="45"/>
  <c r="G28" i="45"/>
  <c r="H62" i="45"/>
  <c r="AF58" i="45"/>
  <c r="AJ58" i="41"/>
  <c r="T58" i="41"/>
  <c r="AI58" i="41"/>
  <c r="AK58" i="41"/>
  <c r="AG58" i="41"/>
  <c r="S58" i="41"/>
  <c r="AH58" i="41"/>
  <c r="Z58" i="41"/>
  <c r="AD58" i="41"/>
  <c r="AF58" i="41"/>
  <c r="X58" i="41"/>
  <c r="U58" i="41"/>
  <c r="Y58" i="41"/>
  <c r="W58" i="41"/>
  <c r="AA58" i="41"/>
  <c r="AC58" i="41"/>
  <c r="AE58" i="41"/>
  <c r="H72" i="35"/>
  <c r="I69" i="35"/>
  <c r="I74" i="35" s="1"/>
  <c r="M58" i="41"/>
  <c r="M61" i="41" s="1"/>
  <c r="M65" i="41" s="1"/>
  <c r="K58" i="41"/>
  <c r="K61" i="41" s="1"/>
  <c r="K65" i="41" s="1"/>
  <c r="H58" i="41"/>
  <c r="H61" i="41" s="1"/>
  <c r="H65" i="41" s="1"/>
  <c r="R58" i="41"/>
  <c r="R61" i="41" s="1"/>
  <c r="R65" i="41" s="1"/>
  <c r="I58" i="41"/>
  <c r="I61" i="41" s="1"/>
  <c r="I65" i="41" s="1"/>
  <c r="R65" i="42"/>
  <c r="O58" i="41"/>
  <c r="O61" i="41" s="1"/>
  <c r="O65" i="41" s="1"/>
  <c r="Q58" i="41"/>
  <c r="Q61" i="41" s="1"/>
  <c r="H59" i="40"/>
  <c r="H63" i="40" s="1"/>
  <c r="N58" i="41"/>
  <c r="N61" i="41" s="1"/>
  <c r="N65" i="41" s="1"/>
  <c r="L58" i="41"/>
  <c r="L61" i="41" s="1"/>
  <c r="L65" i="41" s="1"/>
  <c r="P58" i="41"/>
  <c r="P61" i="41" s="1"/>
  <c r="P65" i="41" s="1"/>
  <c r="J58" i="41"/>
  <c r="J61" i="41" s="1"/>
  <c r="J65" i="41" s="1"/>
  <c r="H61" i="42"/>
  <c r="H65" i="42" s="1"/>
  <c r="R63" i="40"/>
  <c r="Q61" i="40"/>
  <c r="Q65" i="42"/>
  <c r="K12" i="35"/>
  <c r="J18" i="35"/>
  <c r="J45" i="28" s="1"/>
  <c r="J46" i="28" s="1"/>
  <c r="M21" i="28" l="1"/>
  <c r="Q69" i="47"/>
  <c r="Q70" i="47" s="1"/>
  <c r="Q71" i="47" s="1"/>
  <c r="G74" i="47" s="1"/>
  <c r="P21" i="28"/>
  <c r="AE71" i="39"/>
  <c r="AE60" i="39"/>
  <c r="AE72" i="39"/>
  <c r="AF39" i="39"/>
  <c r="AE86" i="39"/>
  <c r="AE62" i="39"/>
  <c r="AE74" i="39" s="1"/>
  <c r="AE87" i="39"/>
  <c r="Q62" i="45"/>
  <c r="F65" i="45" s="1"/>
  <c r="M40" i="44"/>
  <c r="L42" i="44"/>
  <c r="L43" i="44" s="1"/>
  <c r="I72" i="35"/>
  <c r="J69" i="35"/>
  <c r="J74" i="35" s="1"/>
  <c r="Q63" i="41"/>
  <c r="Q64" i="41" s="1"/>
  <c r="Q62" i="40"/>
  <c r="Q63" i="40" s="1"/>
  <c r="G68" i="42"/>
  <c r="L12" i="35"/>
  <c r="K18" i="35"/>
  <c r="K45" i="28" s="1"/>
  <c r="K46" i="28" s="1"/>
  <c r="AF86" i="39" l="1"/>
  <c r="AF87" i="39"/>
  <c r="AF60" i="39"/>
  <c r="AF72" i="39"/>
  <c r="AF71" i="39"/>
  <c r="AG39" i="39"/>
  <c r="AF62" i="39"/>
  <c r="AF74" i="39" s="1"/>
  <c r="J72" i="35"/>
  <c r="K69" i="35"/>
  <c r="Q65" i="41"/>
  <c r="G66" i="40"/>
  <c r="M12" i="35"/>
  <c r="L18" i="35"/>
  <c r="L45" i="28" s="1"/>
  <c r="L46" i="28" s="1"/>
  <c r="AG86" i="39" l="1"/>
  <c r="AH39" i="39"/>
  <c r="AG72" i="39"/>
  <c r="AG62" i="39"/>
  <c r="AG74" i="39" s="1"/>
  <c r="AG71" i="39"/>
  <c r="AG87" i="39"/>
  <c r="AG60" i="39"/>
  <c r="K72" i="35"/>
  <c r="G40" i="35"/>
  <c r="I40" i="35"/>
  <c r="H40" i="35"/>
  <c r="F40" i="35"/>
  <c r="G68" i="41"/>
  <c r="N12" i="35"/>
  <c r="M18" i="35"/>
  <c r="M45" i="28" s="1"/>
  <c r="M46" i="28" s="1"/>
  <c r="AI39" i="39" l="1"/>
  <c r="AH71" i="39"/>
  <c r="AH60" i="39"/>
  <c r="AH86" i="39"/>
  <c r="AH62" i="39"/>
  <c r="AH72" i="39"/>
  <c r="AH87" i="39"/>
  <c r="P44" i="35"/>
  <c r="N18" i="35"/>
  <c r="N45" i="28" s="1"/>
  <c r="N46" i="28" s="1"/>
  <c r="O12" i="35"/>
  <c r="AH74" i="39" l="1"/>
  <c r="AI60" i="39"/>
  <c r="AJ39" i="39"/>
  <c r="AI71" i="39"/>
  <c r="AI87" i="39"/>
  <c r="AI86" i="39"/>
  <c r="AI72" i="39"/>
  <c r="AI62" i="39"/>
  <c r="AI74" i="39" s="1"/>
  <c r="O18" i="35"/>
  <c r="O45" i="28" s="1"/>
  <c r="O46" i="28" s="1"/>
  <c r="P12" i="35"/>
  <c r="AJ71" i="39" l="1"/>
  <c r="AJ62" i="39"/>
  <c r="AK39" i="39"/>
  <c r="AJ86" i="39"/>
  <c r="AJ60" i="39"/>
  <c r="AJ72" i="39"/>
  <c r="AJ87" i="39"/>
  <c r="P18" i="35"/>
  <c r="P45" i="28" s="1"/>
  <c r="P46" i="28" s="1"/>
  <c r="Q12" i="35"/>
  <c r="AJ74" i="39" l="1"/>
  <c r="AK86" i="39"/>
  <c r="AK71" i="39"/>
  <c r="AK60" i="39"/>
  <c r="AK72" i="39"/>
  <c r="AK62" i="39"/>
  <c r="AK87" i="39"/>
  <c r="Q18" i="35"/>
  <c r="R12" i="35"/>
  <c r="S12" i="35" s="1"/>
  <c r="T12" i="35" s="1"/>
  <c r="U12" i="35" s="1"/>
  <c r="V12" i="35" s="1"/>
  <c r="W12" i="35" s="1"/>
  <c r="X12" i="35" s="1"/>
  <c r="Y12" i="35" s="1"/>
  <c r="Z12" i="35" s="1"/>
  <c r="AA12" i="35" s="1"/>
  <c r="AB12" i="35" s="1"/>
  <c r="AC12" i="35" s="1"/>
  <c r="AD12" i="35" s="1"/>
  <c r="AE12" i="35" s="1"/>
  <c r="AF12" i="35" s="1"/>
  <c r="AG12" i="35" s="1"/>
  <c r="AH12" i="35" s="1"/>
  <c r="AI12" i="35" s="1"/>
  <c r="AJ12" i="35" s="1"/>
  <c r="AK74" i="39" l="1"/>
  <c r="R18" i="35"/>
  <c r="D16" i="35" l="1"/>
  <c r="S12" i="31" l="1"/>
  <c r="S13" i="31"/>
  <c r="S14" i="31"/>
  <c r="S15" i="31"/>
  <c r="S16" i="31"/>
  <c r="S17" i="31"/>
  <c r="S18" i="31"/>
  <c r="S19" i="31"/>
  <c r="S20" i="31"/>
  <c r="S21" i="31"/>
  <c r="S22" i="31"/>
  <c r="S23" i="31"/>
  <c r="S24" i="31"/>
  <c r="S25" i="31"/>
  <c r="S26" i="31"/>
  <c r="S27" i="31"/>
  <c r="S28" i="31"/>
  <c r="S29" i="31"/>
  <c r="S30" i="31"/>
  <c r="S31" i="31"/>
  <c r="S32" i="31"/>
  <c r="S33" i="31"/>
  <c r="S34" i="31"/>
  <c r="S35" i="31"/>
  <c r="S36" i="31"/>
  <c r="S37" i="31"/>
  <c r="S38" i="31"/>
  <c r="S39" i="31"/>
  <c r="S40" i="31"/>
  <c r="S41" i="31"/>
  <c r="S42" i="31"/>
  <c r="S43" i="31"/>
  <c r="S97" i="31" s="1"/>
  <c r="H14" i="43" s="1"/>
  <c r="S44" i="31"/>
  <c r="S45" i="31"/>
  <c r="S46" i="31"/>
  <c r="S47" i="31"/>
  <c r="S48" i="31"/>
  <c r="S49" i="31"/>
  <c r="S50" i="31"/>
  <c r="S51" i="31"/>
  <c r="S52" i="31"/>
  <c r="S53" i="31"/>
  <c r="S54" i="31"/>
  <c r="S55" i="31"/>
  <c r="S56" i="31"/>
  <c r="S57" i="31"/>
  <c r="S58" i="31"/>
  <c r="S59" i="31"/>
  <c r="S60" i="31"/>
  <c r="S61" i="31"/>
  <c r="S62" i="31"/>
  <c r="S63" i="31"/>
  <c r="S64" i="31"/>
  <c r="S65" i="31"/>
  <c r="S66" i="31"/>
  <c r="S67" i="31"/>
  <c r="S68" i="31"/>
  <c r="S69" i="31"/>
  <c r="S70" i="31"/>
  <c r="S71" i="31"/>
  <c r="S72" i="31"/>
  <c r="S73" i="31"/>
  <c r="S74" i="31"/>
  <c r="S75" i="31"/>
  <c r="S76" i="31"/>
  <c r="S77" i="31"/>
  <c r="S78" i="31"/>
  <c r="S79" i="31"/>
  <c r="S80" i="31"/>
  <c r="S81" i="31"/>
  <c r="S82" i="31"/>
  <c r="S83" i="31"/>
  <c r="S84" i="31"/>
  <c r="S85" i="31"/>
  <c r="S86" i="31"/>
  <c r="S87" i="31"/>
  <c r="S88" i="31"/>
  <c r="S89" i="31"/>
  <c r="S90" i="31"/>
  <c r="S91" i="31"/>
  <c r="S92" i="31"/>
  <c r="S93" i="31"/>
  <c r="S11" i="31"/>
  <c r="S96" i="31" l="1"/>
  <c r="H14" i="29" s="1"/>
  <c r="M38" i="56"/>
  <c r="L61" i="37"/>
  <c r="L60" i="37"/>
  <c r="G66" i="28"/>
  <c r="G71" i="28" s="1"/>
  <c r="H38" i="56" l="1"/>
  <c r="C38" i="56"/>
  <c r="C23" i="51"/>
  <c r="K61" i="28"/>
  <c r="G77" i="28"/>
  <c r="G78" i="28"/>
  <c r="G79" i="28"/>
  <c r="G70" i="28"/>
  <c r="H66" i="28"/>
  <c r="H71" i="28" s="1"/>
  <c r="F18" i="44"/>
  <c r="J14" i="43"/>
  <c r="O38" i="56" s="1"/>
  <c r="K23" i="51" l="1"/>
  <c r="L23" i="51" s="1"/>
  <c r="C24" i="51"/>
  <c r="H77" i="28"/>
  <c r="H78" i="28"/>
  <c r="H79" i="28"/>
  <c r="H70" i="28"/>
  <c r="I66" i="28"/>
  <c r="I71" i="28" s="1"/>
  <c r="O23" i="56" s="1"/>
  <c r="D18" i="44"/>
  <c r="K24" i="51" l="1"/>
  <c r="L24" i="51" s="1"/>
  <c r="C25" i="51"/>
  <c r="I77" i="28"/>
  <c r="I78" i="28"/>
  <c r="I79" i="28"/>
  <c r="I70" i="28"/>
  <c r="O24" i="56" s="1"/>
  <c r="J66" i="28"/>
  <c r="J71" i="28" s="1"/>
  <c r="K25" i="51" l="1"/>
  <c r="L25" i="51" s="1"/>
  <c r="C26" i="51"/>
  <c r="J76" i="28"/>
  <c r="J78" i="28"/>
  <c r="J79" i="28"/>
  <c r="J75" i="28"/>
  <c r="J72" i="28"/>
  <c r="J68" i="28"/>
  <c r="J69" i="28"/>
  <c r="J70" i="28"/>
  <c r="K66" i="28"/>
  <c r="K71" i="28" s="1"/>
  <c r="K26" i="51" l="1"/>
  <c r="C27" i="51"/>
  <c r="K79" i="28"/>
  <c r="K76" i="28"/>
  <c r="K78" i="28"/>
  <c r="K75" i="28"/>
  <c r="K72" i="28"/>
  <c r="K70" i="28"/>
  <c r="K68" i="28"/>
  <c r="K69" i="28"/>
  <c r="L66" i="28"/>
  <c r="L71" i="28" s="1"/>
  <c r="O31" i="56" s="1"/>
  <c r="O15" i="56" s="1"/>
  <c r="C28" i="51" l="1"/>
  <c r="K27" i="51"/>
  <c r="L79" i="28"/>
  <c r="L76" i="28"/>
  <c r="L78" i="28"/>
  <c r="L75" i="28"/>
  <c r="L72" i="28"/>
  <c r="O33" i="56" s="1"/>
  <c r="L70" i="28"/>
  <c r="O32" i="56" s="1"/>
  <c r="O16" i="56" s="1"/>
  <c r="L68" i="28"/>
  <c r="O29" i="56" s="1"/>
  <c r="L69" i="28"/>
  <c r="O30" i="56" s="1"/>
  <c r="M66" i="28"/>
  <c r="M71" i="28" s="1"/>
  <c r="M35" i="28"/>
  <c r="M33" i="28"/>
  <c r="M32" i="28"/>
  <c r="M36" i="28"/>
  <c r="M34" i="28"/>
  <c r="M48" i="28" l="1"/>
  <c r="M54" i="28" s="1"/>
  <c r="K28" i="51"/>
  <c r="C29" i="51"/>
  <c r="M79" i="28"/>
  <c r="M77" i="28"/>
  <c r="M75" i="28"/>
  <c r="M76" i="28"/>
  <c r="M78" i="28"/>
  <c r="M72" i="28"/>
  <c r="M68" i="28"/>
  <c r="M69" i="28"/>
  <c r="M70" i="28"/>
  <c r="N66" i="28"/>
  <c r="N71" i="28" s="1"/>
  <c r="N33" i="28"/>
  <c r="N36" i="28"/>
  <c r="N35" i="28"/>
  <c r="N32" i="28"/>
  <c r="N34" i="28"/>
  <c r="N48" i="28" l="1"/>
  <c r="N54" i="28" s="1"/>
  <c r="K29" i="51"/>
  <c r="C30" i="51"/>
  <c r="M81" i="28"/>
  <c r="N77" i="28"/>
  <c r="N79" i="28"/>
  <c r="N78" i="28"/>
  <c r="N75" i="28"/>
  <c r="N76" i="28"/>
  <c r="N72" i="28"/>
  <c r="N70" i="28"/>
  <c r="N68" i="28"/>
  <c r="N69" i="28"/>
  <c r="O66" i="28"/>
  <c r="O71" i="28" s="1"/>
  <c r="O33" i="28"/>
  <c r="O32" i="28"/>
  <c r="O36" i="28"/>
  <c r="O35" i="28"/>
  <c r="O34" i="28"/>
  <c r="O48" i="28" l="1"/>
  <c r="O54" i="28" s="1"/>
  <c r="C31" i="51"/>
  <c r="K30" i="51"/>
  <c r="N81" i="28"/>
  <c r="O78" i="28"/>
  <c r="O75" i="28"/>
  <c r="O76" i="28"/>
  <c r="O79" i="28"/>
  <c r="O77" i="28"/>
  <c r="O68" i="28"/>
  <c r="O70" i="28"/>
  <c r="O72" i="28"/>
  <c r="O69" i="28"/>
  <c r="P66" i="28"/>
  <c r="P71" i="28" s="1"/>
  <c r="P34" i="28"/>
  <c r="P35" i="28"/>
  <c r="P33" i="28"/>
  <c r="P32" i="28"/>
  <c r="P36" i="28"/>
  <c r="P48" i="28" l="1"/>
  <c r="P54" i="28" s="1"/>
  <c r="C32" i="51"/>
  <c r="K31" i="51"/>
  <c r="O81" i="28"/>
  <c r="P78" i="28"/>
  <c r="P75" i="28"/>
  <c r="P79" i="28"/>
  <c r="P77" i="28"/>
  <c r="P76" i="28"/>
  <c r="P68" i="28"/>
  <c r="P72" i="28"/>
  <c r="P70" i="28"/>
  <c r="P69" i="28"/>
  <c r="K32" i="51" l="1"/>
  <c r="C33" i="51"/>
  <c r="P81" i="28"/>
  <c r="C34" i="51" l="1"/>
  <c r="K33" i="51"/>
  <c r="C35" i="51" l="1"/>
  <c r="K34" i="51"/>
  <c r="C36" i="51" l="1"/>
  <c r="K35" i="51"/>
  <c r="F18" i="35"/>
  <c r="E45" i="28" s="1"/>
  <c r="J14" i="29"/>
  <c r="J38" i="56" s="1"/>
  <c r="L36" i="37"/>
  <c r="L37" i="37"/>
  <c r="L38" i="37"/>
  <c r="E48" i="28" l="1"/>
  <c r="E46" i="28"/>
  <c r="E54" i="28" s="1"/>
  <c r="C37" i="51"/>
  <c r="K36" i="51"/>
  <c r="D18" i="35"/>
  <c r="H59" i="44"/>
  <c r="C38" i="51" l="1"/>
  <c r="K37" i="51"/>
  <c r="T69" i="44"/>
  <c r="T70" i="44"/>
  <c r="K38" i="51" l="1"/>
  <c r="C39" i="51"/>
  <c r="P44" i="44"/>
  <c r="K39" i="51" l="1"/>
  <c r="C40" i="51"/>
  <c r="O26" i="28"/>
  <c r="P69" i="44"/>
  <c r="P70" i="44"/>
  <c r="C41" i="51" l="1"/>
  <c r="K40" i="51"/>
  <c r="C42" i="51" l="1"/>
  <c r="K41" i="51"/>
  <c r="C43" i="51" l="1"/>
  <c r="K42" i="51"/>
  <c r="K43" i="51" l="1"/>
  <c r="C44" i="51"/>
  <c r="K44" i="51" l="1"/>
  <c r="C45" i="51"/>
  <c r="C46" i="51" l="1"/>
  <c r="K45" i="51"/>
  <c r="K46" i="51" l="1"/>
  <c r="C47" i="51"/>
  <c r="C48" i="51" l="1"/>
  <c r="K47" i="51"/>
  <c r="C49" i="51" l="1"/>
  <c r="K48" i="51"/>
  <c r="K49" i="51" l="1"/>
  <c r="C50" i="51"/>
  <c r="C51" i="51" l="1"/>
  <c r="K50" i="51"/>
  <c r="K51" i="51" l="1"/>
  <c r="C52" i="51"/>
  <c r="T62" i="44"/>
  <c r="C53" i="51" l="1"/>
  <c r="K53" i="51" s="1"/>
  <c r="K52" i="51"/>
  <c r="P63" i="35" l="1"/>
  <c r="P62" i="44"/>
  <c r="Z73" i="35" l="1"/>
  <c r="Z72" i="44"/>
  <c r="P53" i="28"/>
  <c r="Q63" i="35"/>
  <c r="Q70" i="35"/>
  <c r="L53" i="28"/>
  <c r="M44" i="35"/>
  <c r="L26" i="28" s="1"/>
  <c r="M63" i="35"/>
  <c r="M70" i="35"/>
  <c r="M71" i="35"/>
  <c r="W73" i="35"/>
  <c r="K44" i="35" l="1"/>
  <c r="J26" i="28" s="1"/>
  <c r="K71" i="35"/>
  <c r="U73" i="35"/>
  <c r="K74" i="35"/>
  <c r="L69" i="35" s="1"/>
  <c r="L72" i="35" l="1"/>
  <c r="L74" i="35"/>
  <c r="M69" i="35" s="1"/>
  <c r="M72" i="35" s="1"/>
  <c r="M74" i="35" l="1"/>
  <c r="N69" i="35" s="1"/>
  <c r="N72" i="35" s="1"/>
  <c r="M95" i="28" l="1"/>
  <c r="N44" i="35"/>
  <c r="N71" i="35"/>
  <c r="N74" i="35" s="1"/>
  <c r="O69" i="35" s="1"/>
  <c r="X73" i="35"/>
  <c r="O72" i="35" l="1"/>
  <c r="O74" i="35"/>
  <c r="P69" i="35" s="1"/>
  <c r="P72" i="35" l="1"/>
  <c r="P74" i="35"/>
  <c r="Q69" i="35" s="1"/>
  <c r="Q73" i="35" s="1"/>
  <c r="Q72" i="35" l="1"/>
  <c r="AA73" i="35"/>
  <c r="R76" i="35"/>
  <c r="S76" i="35"/>
  <c r="T76" i="35"/>
  <c r="U76" i="35"/>
  <c r="V76" i="35"/>
  <c r="W76" i="35"/>
  <c r="X76" i="35"/>
  <c r="Y76" i="35"/>
  <c r="Z76" i="35"/>
  <c r="AA76" i="35"/>
  <c r="N44" i="44" l="1"/>
  <c r="M26" i="28" s="1"/>
  <c r="N62" i="44"/>
  <c r="N69" i="44"/>
  <c r="N70" i="44"/>
  <c r="N73" i="44" s="1"/>
  <c r="O68" i="44" s="1"/>
  <c r="X72" i="44"/>
  <c r="O71" i="44" l="1"/>
  <c r="O73" i="44"/>
  <c r="P68" i="44" s="1"/>
  <c r="P71" i="44" l="1"/>
  <c r="P73" i="44"/>
  <c r="Q68" i="44" s="1"/>
  <c r="Q71" i="44" l="1"/>
  <c r="D11" i="37" l="1"/>
  <c r="J13" i="56" s="1"/>
  <c r="X19" i="37"/>
  <c r="D34" i="37"/>
  <c r="H34" i="37"/>
  <c r="G13" i="39"/>
  <c r="G15" i="39" s="1"/>
  <c r="G75" i="28" l="1"/>
  <c r="H75" i="28"/>
  <c r="I75" i="28"/>
  <c r="G12" i="39"/>
  <c r="G68" i="28" l="1"/>
  <c r="H68" i="28"/>
  <c r="I68" i="28"/>
  <c r="F86" i="28"/>
  <c r="P45" i="39"/>
  <c r="X45" i="39"/>
  <c r="AF45" i="39"/>
  <c r="K46" i="39"/>
  <c r="S46" i="39"/>
  <c r="AA46" i="39"/>
  <c r="AI46" i="39"/>
  <c r="N47" i="39"/>
  <c r="V47" i="39"/>
  <c r="AD47" i="39"/>
  <c r="I45" i="39"/>
  <c r="Q45" i="39"/>
  <c r="Y45" i="39"/>
  <c r="AG45" i="39"/>
  <c r="L46" i="39"/>
  <c r="T46" i="39"/>
  <c r="AB46" i="39"/>
  <c r="AJ46" i="39"/>
  <c r="O47" i="39"/>
  <c r="W47" i="39"/>
  <c r="AE47" i="39"/>
  <c r="J45" i="39"/>
  <c r="R45" i="39"/>
  <c r="Z45" i="39"/>
  <c r="AH45" i="39"/>
  <c r="M46" i="39"/>
  <c r="U46" i="39"/>
  <c r="AC46" i="39"/>
  <c r="AK46" i="39"/>
  <c r="P47" i="39"/>
  <c r="X47" i="39"/>
  <c r="AF47" i="39"/>
  <c r="K45" i="39"/>
  <c r="S45" i="39"/>
  <c r="AA45" i="39"/>
  <c r="AI45" i="39"/>
  <c r="N46" i="39"/>
  <c r="V46" i="39"/>
  <c r="AD46" i="39"/>
  <c r="I47" i="39"/>
  <c r="Q47" i="39"/>
  <c r="Y47" i="39"/>
  <c r="AG47" i="39"/>
  <c r="L45" i="39"/>
  <c r="T45" i="39"/>
  <c r="AB45" i="39"/>
  <c r="AJ45" i="39"/>
  <c r="O46" i="39"/>
  <c r="W46" i="39"/>
  <c r="AE46" i="39"/>
  <c r="J47" i="39"/>
  <c r="R47" i="39"/>
  <c r="Z47" i="39"/>
  <c r="AH47" i="39"/>
  <c r="G20" i="39"/>
  <c r="M45" i="39"/>
  <c r="U45" i="39"/>
  <c r="AC45" i="39"/>
  <c r="AK45" i="39"/>
  <c r="P46" i="39"/>
  <c r="X46" i="39"/>
  <c r="AF46" i="39"/>
  <c r="K47" i="39"/>
  <c r="S47" i="39"/>
  <c r="AA47" i="39"/>
  <c r="AI47" i="39"/>
  <c r="N45" i="39"/>
  <c r="V45" i="39"/>
  <c r="AD45" i="39"/>
  <c r="I46" i="39"/>
  <c r="Q46" i="39"/>
  <c r="Y46" i="39"/>
  <c r="AG46" i="39"/>
  <c r="L47" i="39"/>
  <c r="T47" i="39"/>
  <c r="AB47" i="39"/>
  <c r="AJ47" i="39"/>
  <c r="AE45" i="39"/>
  <c r="AK47" i="39"/>
  <c r="J46" i="39"/>
  <c r="R46" i="39"/>
  <c r="Z46" i="39"/>
  <c r="AH46" i="39"/>
  <c r="M47" i="39"/>
  <c r="O45" i="39"/>
  <c r="U47" i="39"/>
  <c r="W45" i="39"/>
  <c r="AC47" i="39"/>
  <c r="P52" i="39" l="1"/>
  <c r="M52" i="39"/>
  <c r="Z52" i="39"/>
  <c r="D33" i="53"/>
  <c r="H49" i="39"/>
  <c r="H50" i="39" s="1"/>
  <c r="P49" i="39"/>
  <c r="P50" i="39" s="1"/>
  <c r="X49" i="39"/>
  <c r="AF49" i="39"/>
  <c r="AF50" i="39" s="1"/>
  <c r="I49" i="39"/>
  <c r="I50" i="39" s="1"/>
  <c r="Q49" i="39"/>
  <c r="Q50" i="39" s="1"/>
  <c r="Y49" i="39"/>
  <c r="AG49" i="39"/>
  <c r="J49" i="39"/>
  <c r="R49" i="39"/>
  <c r="R50" i="39" s="1"/>
  <c r="Z49" i="39"/>
  <c r="Z50" i="39" s="1"/>
  <c r="AH49" i="39"/>
  <c r="AH50" i="39" s="1"/>
  <c r="K49" i="39"/>
  <c r="K50" i="39" s="1"/>
  <c r="S49" i="39"/>
  <c r="S50" i="39" s="1"/>
  <c r="AA49" i="39"/>
  <c r="AI49" i="39"/>
  <c r="L49" i="39"/>
  <c r="L50" i="39" s="1"/>
  <c r="T49" i="39"/>
  <c r="AB49" i="39"/>
  <c r="AB50" i="39" s="1"/>
  <c r="AJ49" i="39"/>
  <c r="AJ50" i="39" s="1"/>
  <c r="M49" i="39"/>
  <c r="M50" i="39" s="1"/>
  <c r="U49" i="39"/>
  <c r="U50" i="39" s="1"/>
  <c r="AC49" i="39"/>
  <c r="AK49" i="39"/>
  <c r="N49" i="39"/>
  <c r="N50" i="39" s="1"/>
  <c r="V49" i="39"/>
  <c r="V50" i="39" s="1"/>
  <c r="AD49" i="39"/>
  <c r="AD50" i="39" s="1"/>
  <c r="O49" i="39"/>
  <c r="O50" i="39" s="1"/>
  <c r="W49" i="39"/>
  <c r="W50" i="39" s="1"/>
  <c r="AE49" i="39"/>
  <c r="AE50" i="39" s="1"/>
  <c r="AJ52" i="39"/>
  <c r="R52" i="39"/>
  <c r="K52" i="39"/>
  <c r="W52" i="39"/>
  <c r="AE52" i="39"/>
  <c r="AB52" i="39"/>
  <c r="J50" i="39"/>
  <c r="J52" i="39"/>
  <c r="AG52" i="39"/>
  <c r="AG50" i="39"/>
  <c r="U52" i="39"/>
  <c r="T50" i="39"/>
  <c r="T52" i="39"/>
  <c r="Y52" i="39"/>
  <c r="Y50" i="39"/>
  <c r="O21" i="56"/>
  <c r="O13" i="56" s="1"/>
  <c r="L52" i="39"/>
  <c r="AI50" i="39"/>
  <c r="AI52" i="39"/>
  <c r="Q52" i="39"/>
  <c r="O52" i="39"/>
  <c r="V52" i="39"/>
  <c r="N52" i="39"/>
  <c r="AK52" i="39"/>
  <c r="AK50" i="39"/>
  <c r="AA50" i="39"/>
  <c r="AA52" i="39"/>
  <c r="I52" i="39"/>
  <c r="AF52" i="39"/>
  <c r="AH52" i="39"/>
  <c r="AD52" i="39"/>
  <c r="AC52" i="39"/>
  <c r="AC50" i="39"/>
  <c r="S52" i="39"/>
  <c r="X52" i="39"/>
  <c r="X50" i="39"/>
  <c r="Z53" i="39" l="1"/>
  <c r="Z56" i="39"/>
  <c r="P53" i="39"/>
  <c r="P56" i="39"/>
  <c r="AJ53" i="39"/>
  <c r="AJ56" i="39"/>
  <c r="U53" i="39"/>
  <c r="U56" i="39"/>
  <c r="S53" i="39"/>
  <c r="S56" i="39"/>
  <c r="Q53" i="39"/>
  <c r="Q56" i="39"/>
  <c r="AE56" i="39"/>
  <c r="AE53" i="39"/>
  <c r="W53" i="39"/>
  <c r="W56" i="39"/>
  <c r="M53" i="39"/>
  <c r="M56" i="39"/>
  <c r="K53" i="39"/>
  <c r="K56" i="39"/>
  <c r="I56" i="39"/>
  <c r="I53" i="39"/>
  <c r="AG56" i="39"/>
  <c r="AG53" i="39"/>
  <c r="L53" i="39"/>
  <c r="L56" i="39"/>
  <c r="AA53" i="39"/>
  <c r="AA56" i="39"/>
  <c r="X53" i="39"/>
  <c r="X56" i="39"/>
  <c r="AK53" i="39"/>
  <c r="AK56" i="39"/>
  <c r="J53" i="39"/>
  <c r="J56" i="39"/>
  <c r="AD56" i="39"/>
  <c r="AD53" i="39"/>
  <c r="Y53" i="39"/>
  <c r="Y56" i="39"/>
  <c r="AH53" i="39"/>
  <c r="AH56" i="39"/>
  <c r="AF56" i="39"/>
  <c r="AF53" i="39"/>
  <c r="N56" i="39"/>
  <c r="N53" i="39"/>
  <c r="T53" i="39"/>
  <c r="T56" i="39"/>
  <c r="AB53" i="39"/>
  <c r="AB56" i="39"/>
  <c r="R53" i="39"/>
  <c r="R56" i="39"/>
  <c r="H53" i="39"/>
  <c r="H56" i="39"/>
  <c r="O53" i="39"/>
  <c r="O56" i="39"/>
  <c r="AI53" i="39"/>
  <c r="AI56" i="39"/>
  <c r="H33" i="53"/>
  <c r="G80" i="28"/>
  <c r="H80" i="28"/>
  <c r="I80" i="28"/>
  <c r="F33" i="53"/>
  <c r="AC53" i="39"/>
  <c r="AC56" i="39"/>
  <c r="V56" i="39"/>
  <c r="V53" i="39"/>
  <c r="AB55" i="39" l="1"/>
  <c r="AB57" i="39"/>
  <c r="AB58" i="39" s="1"/>
  <c r="AE25" i="35"/>
  <c r="Z25" i="35"/>
  <c r="W55" i="39"/>
  <c r="W57" i="39"/>
  <c r="W58" i="39" s="1"/>
  <c r="U55" i="39"/>
  <c r="U57" i="39"/>
  <c r="X25" i="35"/>
  <c r="I57" i="39"/>
  <c r="L25" i="35"/>
  <c r="I55" i="39"/>
  <c r="L33" i="35" s="1"/>
  <c r="AH25" i="35"/>
  <c r="AE55" i="39"/>
  <c r="AE57" i="39"/>
  <c r="G44" i="28"/>
  <c r="I33" i="53"/>
  <c r="H91" i="28" s="1"/>
  <c r="H44" i="28"/>
  <c r="I44" i="28"/>
  <c r="R25" i="35"/>
  <c r="O55" i="39"/>
  <c r="O57" i="39"/>
  <c r="T55" i="39"/>
  <c r="T57" i="39"/>
  <c r="W25" i="35"/>
  <c r="Y57" i="39"/>
  <c r="Y55" i="39"/>
  <c r="AB33" i="35" s="1"/>
  <c r="AB25" i="35"/>
  <c r="X57" i="39"/>
  <c r="AA25" i="35"/>
  <c r="X55" i="39"/>
  <c r="AJ55" i="39"/>
  <c r="AJ57" i="39"/>
  <c r="AG57" i="39"/>
  <c r="AG55" i="39"/>
  <c r="AJ33" i="35" s="1"/>
  <c r="AJ25" i="35"/>
  <c r="AH57" i="39"/>
  <c r="AH55" i="39"/>
  <c r="AH58" i="39" s="1"/>
  <c r="AC55" i="39"/>
  <c r="AC57" i="39"/>
  <c r="AF25" i="35"/>
  <c r="AD55" i="39"/>
  <c r="AD57" i="39"/>
  <c r="AD58" i="39" s="1"/>
  <c r="AG25" i="35"/>
  <c r="AK55" i="39"/>
  <c r="AK57" i="39"/>
  <c r="H57" i="39"/>
  <c r="K25" i="35"/>
  <c r="H55" i="39"/>
  <c r="AA57" i="39"/>
  <c r="AD25" i="35"/>
  <c r="AA55" i="39"/>
  <c r="K57" i="39"/>
  <c r="N25" i="35"/>
  <c r="K55" i="39"/>
  <c r="Q57" i="39"/>
  <c r="Q55" i="39"/>
  <c r="T25" i="35"/>
  <c r="P57" i="39"/>
  <c r="S25" i="35"/>
  <c r="P55" i="39"/>
  <c r="AI57" i="39"/>
  <c r="AI55" i="39"/>
  <c r="N55" i="39"/>
  <c r="N57" i="39"/>
  <c r="Q25" i="35"/>
  <c r="AF57" i="39"/>
  <c r="AI25" i="35"/>
  <c r="AF55" i="39"/>
  <c r="V55" i="39"/>
  <c r="V57" i="39"/>
  <c r="Y25" i="35"/>
  <c r="R57" i="39"/>
  <c r="U25" i="35"/>
  <c r="R55" i="39"/>
  <c r="J57" i="39"/>
  <c r="M25" i="35"/>
  <c r="J55" i="39"/>
  <c r="M33" i="35" s="1"/>
  <c r="L55" i="39"/>
  <c r="L57" i="39"/>
  <c r="O25" i="35"/>
  <c r="M55" i="39"/>
  <c r="M57" i="39"/>
  <c r="P25" i="35"/>
  <c r="S57" i="39"/>
  <c r="V25" i="35"/>
  <c r="S55" i="39"/>
  <c r="Z57" i="39"/>
  <c r="AC25" i="35"/>
  <c r="Z55" i="39"/>
  <c r="AA33" i="35" l="1"/>
  <c r="S33" i="35"/>
  <c r="AI33" i="35"/>
  <c r="AD33" i="35"/>
  <c r="R58" i="39"/>
  <c r="Q60" i="39" s="1"/>
  <c r="T33" i="35"/>
  <c r="L58" i="39"/>
  <c r="L62" i="39" s="1"/>
  <c r="AE58" i="39"/>
  <c r="R33" i="35"/>
  <c r="M58" i="39"/>
  <c r="M62" i="39" s="1"/>
  <c r="K33" i="35"/>
  <c r="J18" i="28" s="1"/>
  <c r="AG33" i="35"/>
  <c r="AA58" i="39"/>
  <c r="AJ58" i="39"/>
  <c r="N58" i="39"/>
  <c r="N62" i="39" s="1"/>
  <c r="AG58" i="39"/>
  <c r="X33" i="35"/>
  <c r="V58" i="39"/>
  <c r="AI58" i="39"/>
  <c r="AC58" i="39"/>
  <c r="I58" i="39"/>
  <c r="I62" i="39" s="1"/>
  <c r="K58" i="39"/>
  <c r="K62" i="39" s="1"/>
  <c r="AK58" i="39"/>
  <c r="S58" i="39"/>
  <c r="AC33" i="35"/>
  <c r="X58" i="39"/>
  <c r="T58" i="39"/>
  <c r="K18" i="28"/>
  <c r="Z33" i="35"/>
  <c r="L18" i="28"/>
  <c r="Z58" i="39"/>
  <c r="Y33" i="35"/>
  <c r="Q33" i="35"/>
  <c r="P18" i="28" s="1"/>
  <c r="W33" i="35"/>
  <c r="P33" i="35"/>
  <c r="J58" i="39"/>
  <c r="V33" i="35"/>
  <c r="U33" i="35"/>
  <c r="AF58" i="39"/>
  <c r="Q58" i="39"/>
  <c r="AF33" i="35"/>
  <c r="Y58" i="39"/>
  <c r="O58" i="39"/>
  <c r="AH33" i="35"/>
  <c r="U58" i="39"/>
  <c r="O33" i="35"/>
  <c r="P58" i="39"/>
  <c r="N33" i="35"/>
  <c r="H58" i="39"/>
  <c r="AE33" i="35"/>
  <c r="J62" i="39" l="1"/>
  <c r="Q62" i="39"/>
  <c r="O18" i="28"/>
  <c r="O62" i="39"/>
  <c r="P62" i="39"/>
  <c r="G28" i="39"/>
  <c r="G29" i="39"/>
  <c r="H62" i="39"/>
  <c r="N18" i="28"/>
  <c r="M18" i="28"/>
  <c r="F65" i="39" l="1"/>
  <c r="D12" i="37"/>
  <c r="J14" i="56" s="1"/>
  <c r="X20" i="37"/>
  <c r="D24" i="37"/>
  <c r="X25" i="37" s="1"/>
  <c r="D35" i="37"/>
  <c r="D39" i="37" s="1"/>
  <c r="H15" i="29" s="1"/>
  <c r="H35" i="37"/>
  <c r="H39" i="37" s="1"/>
  <c r="H16" i="29" s="1"/>
  <c r="G13" i="49"/>
  <c r="G15" i="49" s="1"/>
  <c r="G76" i="28" s="1"/>
  <c r="G81" i="28" s="1"/>
  <c r="C19" i="37" l="1"/>
  <c r="C20" i="37"/>
  <c r="H40" i="56"/>
  <c r="J20" i="35"/>
  <c r="R20" i="35"/>
  <c r="Z20" i="35"/>
  <c r="AH20" i="35"/>
  <c r="K20" i="35"/>
  <c r="S20" i="35"/>
  <c r="AA20" i="35"/>
  <c r="AI20" i="35"/>
  <c r="L20" i="35"/>
  <c r="T20" i="35"/>
  <c r="AB20" i="35"/>
  <c r="AJ20" i="35"/>
  <c r="M20" i="35"/>
  <c r="U20" i="35"/>
  <c r="AC20" i="35"/>
  <c r="F20" i="35"/>
  <c r="N20" i="35"/>
  <c r="V20" i="35"/>
  <c r="AD20" i="35"/>
  <c r="G20" i="35"/>
  <c r="O20" i="35"/>
  <c r="W20" i="35"/>
  <c r="AE20" i="35"/>
  <c r="H20" i="35"/>
  <c r="P20" i="35"/>
  <c r="X20" i="35"/>
  <c r="AF20" i="35"/>
  <c r="AG20" i="35"/>
  <c r="J15" i="29"/>
  <c r="J39" i="56" s="1"/>
  <c r="Y20" i="35"/>
  <c r="Q20" i="35"/>
  <c r="H39" i="56"/>
  <c r="I19" i="35"/>
  <c r="J19" i="35"/>
  <c r="R19" i="35"/>
  <c r="L19" i="35"/>
  <c r="M19" i="35"/>
  <c r="F19" i="35"/>
  <c r="N19" i="35"/>
  <c r="G19" i="35"/>
  <c r="Q19" i="35"/>
  <c r="Z19" i="35"/>
  <c r="AH19" i="35"/>
  <c r="S19" i="35"/>
  <c r="AA19" i="35"/>
  <c r="AI19" i="35"/>
  <c r="T19" i="35"/>
  <c r="AB19" i="35"/>
  <c r="AJ19" i="35"/>
  <c r="U19" i="35"/>
  <c r="AC19" i="35"/>
  <c r="H19" i="35"/>
  <c r="V19" i="35"/>
  <c r="AD19" i="35"/>
  <c r="K19" i="35"/>
  <c r="W19" i="35"/>
  <c r="AE19" i="35"/>
  <c r="O19" i="35"/>
  <c r="X19" i="35"/>
  <c r="AF19" i="35"/>
  <c r="I20" i="35"/>
  <c r="AG19" i="35"/>
  <c r="Y19" i="35"/>
  <c r="J16" i="29"/>
  <c r="J40" i="56" s="1"/>
  <c r="P19" i="35"/>
  <c r="Y20" i="37"/>
  <c r="Y21" i="37"/>
  <c r="Y22" i="37"/>
  <c r="Y23" i="37"/>
  <c r="Y19" i="37"/>
  <c r="Y24" i="37"/>
  <c r="H76" i="28"/>
  <c r="H81" i="28" s="1"/>
  <c r="I76" i="28"/>
  <c r="I81" i="28" s="1"/>
  <c r="G12" i="49"/>
  <c r="C24" i="37" l="1"/>
  <c r="D19" i="35"/>
  <c r="D20" i="35"/>
  <c r="K45" i="49"/>
  <c r="S45" i="49"/>
  <c r="AA45" i="49"/>
  <c r="AI45" i="49"/>
  <c r="N46" i="49"/>
  <c r="V46" i="49"/>
  <c r="AD46" i="49"/>
  <c r="G69" i="28"/>
  <c r="L45" i="49"/>
  <c r="T45" i="49"/>
  <c r="AB45" i="49"/>
  <c r="AJ45" i="49"/>
  <c r="O46" i="49"/>
  <c r="W46" i="49"/>
  <c r="AE46" i="49"/>
  <c r="H69" i="28"/>
  <c r="M45" i="49"/>
  <c r="U45" i="49"/>
  <c r="AC45" i="49"/>
  <c r="AK45" i="49"/>
  <c r="P46" i="49"/>
  <c r="X46" i="49"/>
  <c r="AF46" i="49"/>
  <c r="I69" i="28"/>
  <c r="N45" i="49"/>
  <c r="V45" i="49"/>
  <c r="AD45" i="49"/>
  <c r="I46" i="49"/>
  <c r="Q46" i="49"/>
  <c r="Y46" i="49"/>
  <c r="AG46" i="49"/>
  <c r="G20" i="49"/>
  <c r="O45" i="49"/>
  <c r="W45" i="49"/>
  <c r="AE45" i="49"/>
  <c r="J46" i="49"/>
  <c r="R46" i="49"/>
  <c r="Z46" i="49"/>
  <c r="AH46" i="49"/>
  <c r="P45" i="49"/>
  <c r="X45" i="49"/>
  <c r="AF45" i="49"/>
  <c r="K46" i="49"/>
  <c r="S46" i="49"/>
  <c r="AA46" i="49"/>
  <c r="AI46" i="49"/>
  <c r="I45" i="49"/>
  <c r="Q45" i="49"/>
  <c r="Y45" i="49"/>
  <c r="AG45" i="49"/>
  <c r="L46" i="49"/>
  <c r="T46" i="49"/>
  <c r="AB46" i="49"/>
  <c r="AJ46" i="49"/>
  <c r="R45" i="49"/>
  <c r="Z45" i="49"/>
  <c r="D30" i="53"/>
  <c r="AH45" i="49"/>
  <c r="M46" i="49"/>
  <c r="U46" i="49"/>
  <c r="AC46" i="49"/>
  <c r="AK46" i="49"/>
  <c r="J45" i="49"/>
  <c r="F87" i="28"/>
  <c r="Y25" i="37"/>
  <c r="AB51" i="49" l="1"/>
  <c r="AG51" i="49"/>
  <c r="AF51" i="49"/>
  <c r="W51" i="49"/>
  <c r="V51" i="49"/>
  <c r="U51" i="49"/>
  <c r="T51" i="49"/>
  <c r="S51" i="49"/>
  <c r="AI51" i="49"/>
  <c r="AD51" i="49"/>
  <c r="F30" i="53"/>
  <c r="H30" i="53"/>
  <c r="Y51" i="49"/>
  <c r="X51" i="49"/>
  <c r="O51" i="49"/>
  <c r="N51" i="49"/>
  <c r="M51" i="49"/>
  <c r="L51" i="49"/>
  <c r="K51" i="49"/>
  <c r="O22" i="56"/>
  <c r="AK51" i="49"/>
  <c r="AE51" i="49"/>
  <c r="Z51" i="49"/>
  <c r="H48" i="49"/>
  <c r="H49" i="49" s="1"/>
  <c r="P48" i="49"/>
  <c r="P49" i="49" s="1"/>
  <c r="X48" i="49"/>
  <c r="X49" i="49" s="1"/>
  <c r="AF48" i="49"/>
  <c r="AF49" i="49" s="1"/>
  <c r="I48" i="49"/>
  <c r="I49" i="49" s="1"/>
  <c r="Q48" i="49"/>
  <c r="Q49" i="49" s="1"/>
  <c r="Y48" i="49"/>
  <c r="Y49" i="49" s="1"/>
  <c r="AG48" i="49"/>
  <c r="AG49" i="49" s="1"/>
  <c r="J48" i="49"/>
  <c r="J49" i="49" s="1"/>
  <c r="R48" i="49"/>
  <c r="Z48" i="49"/>
  <c r="Z49" i="49" s="1"/>
  <c r="AH48" i="49"/>
  <c r="AH49" i="49" s="1"/>
  <c r="K48" i="49"/>
  <c r="K49" i="49" s="1"/>
  <c r="S48" i="49"/>
  <c r="S49" i="49" s="1"/>
  <c r="AA48" i="49"/>
  <c r="AI48" i="49"/>
  <c r="AI49" i="49" s="1"/>
  <c r="G72" i="28"/>
  <c r="L48" i="49"/>
  <c r="L49" i="49" s="1"/>
  <c r="T48" i="49"/>
  <c r="T49" i="49" s="1"/>
  <c r="AB48" i="49"/>
  <c r="AB49" i="49" s="1"/>
  <c r="AJ48" i="49"/>
  <c r="AJ49" i="49" s="1"/>
  <c r="H72" i="28"/>
  <c r="M48" i="49"/>
  <c r="M49" i="49" s="1"/>
  <c r="U48" i="49"/>
  <c r="U49" i="49" s="1"/>
  <c r="AC48" i="49"/>
  <c r="AC49" i="49" s="1"/>
  <c r="AK48" i="49"/>
  <c r="AK49" i="49" s="1"/>
  <c r="I72" i="28"/>
  <c r="N48" i="49"/>
  <c r="N49" i="49" s="1"/>
  <c r="V48" i="49"/>
  <c r="V49" i="49" s="1"/>
  <c r="AD48" i="49"/>
  <c r="AD49" i="49" s="1"/>
  <c r="W48" i="49"/>
  <c r="W49" i="49" s="1"/>
  <c r="AE48" i="49"/>
  <c r="AE49" i="49" s="1"/>
  <c r="O48" i="49"/>
  <c r="O49" i="49" s="1"/>
  <c r="J51" i="49"/>
  <c r="R49" i="49"/>
  <c r="R51" i="49"/>
  <c r="I51" i="49"/>
  <c r="AJ51" i="49"/>
  <c r="AA49" i="49"/>
  <c r="AA51" i="49"/>
  <c r="AH51" i="49"/>
  <c r="Q51" i="49"/>
  <c r="AC51" i="49"/>
  <c r="P51" i="49"/>
  <c r="O14" i="56" l="1"/>
  <c r="AG52" i="49"/>
  <c r="AG55" i="49"/>
  <c r="AB55" i="49"/>
  <c r="AB52" i="49"/>
  <c r="Z52" i="49"/>
  <c r="Z55" i="49"/>
  <c r="AE52" i="49"/>
  <c r="AE55" i="49"/>
  <c r="AF52" i="49"/>
  <c r="AF55" i="49"/>
  <c r="X52" i="49"/>
  <c r="X55" i="49"/>
  <c r="L55" i="49"/>
  <c r="L52" i="49"/>
  <c r="O52" i="49"/>
  <c r="O55" i="49"/>
  <c r="AI55" i="49"/>
  <c r="AI52" i="49"/>
  <c r="AD55" i="49"/>
  <c r="AD52" i="49"/>
  <c r="N55" i="49"/>
  <c r="N52" i="49"/>
  <c r="T55" i="49"/>
  <c r="T52" i="49"/>
  <c r="U52" i="49"/>
  <c r="U55" i="49"/>
  <c r="V55" i="49"/>
  <c r="V52" i="49"/>
  <c r="AJ55" i="49"/>
  <c r="AJ52" i="49"/>
  <c r="K55" i="49"/>
  <c r="K52" i="49"/>
  <c r="I52" i="49"/>
  <c r="I55" i="49"/>
  <c r="R52" i="49"/>
  <c r="R55" i="49"/>
  <c r="S55" i="49"/>
  <c r="S52" i="49"/>
  <c r="AH52" i="49"/>
  <c r="AH55" i="49"/>
  <c r="AK55" i="49"/>
  <c r="AK52" i="49"/>
  <c r="J52" i="49"/>
  <c r="J55" i="49"/>
  <c r="H43" i="28"/>
  <c r="H46" i="28" s="1"/>
  <c r="I43" i="28"/>
  <c r="I46" i="28" s="1"/>
  <c r="I30" i="53"/>
  <c r="F35" i="53"/>
  <c r="F37" i="53" s="1"/>
  <c r="G43" i="28"/>
  <c r="G46" i="28" s="1"/>
  <c r="P52" i="49"/>
  <c r="P55" i="49"/>
  <c r="H52" i="49"/>
  <c r="H55" i="49"/>
  <c r="Y52" i="49"/>
  <c r="Y55" i="49"/>
  <c r="O25" i="56"/>
  <c r="O17" i="56" s="1"/>
  <c r="M55" i="49"/>
  <c r="M52" i="49"/>
  <c r="Q52" i="49"/>
  <c r="Q55" i="49"/>
  <c r="W52" i="49"/>
  <c r="W55" i="49"/>
  <c r="AA55" i="49"/>
  <c r="AA52" i="49"/>
  <c r="AC55" i="49"/>
  <c r="AC52" i="49"/>
  <c r="J21" i="35" l="1"/>
  <c r="J22" i="35" s="1"/>
  <c r="R21" i="35"/>
  <c r="R22" i="35" s="1"/>
  <c r="Z21" i="35"/>
  <c r="Z22" i="35" s="1"/>
  <c r="AH21" i="35"/>
  <c r="AH22" i="35" s="1"/>
  <c r="K21" i="35"/>
  <c r="K22" i="35" s="1"/>
  <c r="S21" i="35"/>
  <c r="S22" i="35" s="1"/>
  <c r="AA21" i="35"/>
  <c r="AA22" i="35" s="1"/>
  <c r="AI21" i="35"/>
  <c r="AI22" i="35" s="1"/>
  <c r="L21" i="35"/>
  <c r="L22" i="35" s="1"/>
  <c r="T21" i="35"/>
  <c r="T22" i="35" s="1"/>
  <c r="AB21" i="35"/>
  <c r="AB22" i="35" s="1"/>
  <c r="AJ21" i="35"/>
  <c r="AJ22" i="35" s="1"/>
  <c r="M21" i="35"/>
  <c r="M22" i="35" s="1"/>
  <c r="U21" i="35"/>
  <c r="U22" i="35" s="1"/>
  <c r="AC21" i="35"/>
  <c r="AC22" i="35" s="1"/>
  <c r="F21" i="35"/>
  <c r="N21" i="35"/>
  <c r="N22" i="35" s="1"/>
  <c r="V21" i="35"/>
  <c r="V22" i="35" s="1"/>
  <c r="AD21" i="35"/>
  <c r="AD22" i="35" s="1"/>
  <c r="G21" i="35"/>
  <c r="G22" i="35" s="1"/>
  <c r="O21" i="35"/>
  <c r="O22" i="35" s="1"/>
  <c r="W21" i="35"/>
  <c r="W22" i="35" s="1"/>
  <c r="AE21" i="35"/>
  <c r="AE22" i="35" s="1"/>
  <c r="H21" i="35"/>
  <c r="H22" i="35" s="1"/>
  <c r="P21" i="35"/>
  <c r="P22" i="35" s="1"/>
  <c r="X21" i="35"/>
  <c r="X22" i="35" s="1"/>
  <c r="AF21" i="35"/>
  <c r="AF22" i="35" s="1"/>
  <c r="Q21" i="35"/>
  <c r="Q22" i="35" s="1"/>
  <c r="Y21" i="35"/>
  <c r="Y22" i="35" s="1"/>
  <c r="AG21" i="35"/>
  <c r="AG22" i="35" s="1"/>
  <c r="I21" i="35"/>
  <c r="I22" i="35" s="1"/>
  <c r="Y54" i="49"/>
  <c r="AB34" i="35" s="1"/>
  <c r="AB38" i="35" s="1"/>
  <c r="Y56" i="49"/>
  <c r="AB26" i="35"/>
  <c r="O54" i="49"/>
  <c r="R34" i="35" s="1"/>
  <c r="R38" i="35" s="1"/>
  <c r="O56" i="49"/>
  <c r="R26" i="35"/>
  <c r="AE56" i="49"/>
  <c r="AE54" i="49"/>
  <c r="AH34" i="35" s="1"/>
  <c r="AH38" i="35" s="1"/>
  <c r="AH26" i="35"/>
  <c r="I35" i="53"/>
  <c r="E100" i="28" s="1"/>
  <c r="G99" i="28"/>
  <c r="E103" i="28" s="1"/>
  <c r="S54" i="49"/>
  <c r="S57" i="49" s="1"/>
  <c r="S56" i="49"/>
  <c r="V26" i="35"/>
  <c r="L54" i="49"/>
  <c r="L56" i="49"/>
  <c r="O26" i="35"/>
  <c r="Z54" i="49"/>
  <c r="Z56" i="49"/>
  <c r="AC26" i="35"/>
  <c r="K56" i="49"/>
  <c r="K54" i="49"/>
  <c r="N26" i="35"/>
  <c r="Q54" i="49"/>
  <c r="Q56" i="49"/>
  <c r="T26" i="35"/>
  <c r="V54" i="49"/>
  <c r="V56" i="49"/>
  <c r="Y26" i="35"/>
  <c r="AD54" i="49"/>
  <c r="AD56" i="49"/>
  <c r="AG26" i="35"/>
  <c r="AB54" i="49"/>
  <c r="AB56" i="49"/>
  <c r="AE26" i="35"/>
  <c r="AJ54" i="49"/>
  <c r="AJ57" i="49" s="1"/>
  <c r="AJ56" i="49"/>
  <c r="N54" i="49"/>
  <c r="N56" i="49"/>
  <c r="Q26" i="35"/>
  <c r="H56" i="49"/>
  <c r="H54" i="49"/>
  <c r="K26" i="35"/>
  <c r="AC54" i="49"/>
  <c r="AC56" i="49"/>
  <c r="AF26" i="35"/>
  <c r="M54" i="49"/>
  <c r="M56" i="49"/>
  <c r="M57" i="49" s="1"/>
  <c r="P26" i="35"/>
  <c r="P54" i="49"/>
  <c r="P56" i="49"/>
  <c r="S26" i="35"/>
  <c r="J54" i="49"/>
  <c r="J56" i="49"/>
  <c r="M26" i="35"/>
  <c r="R54" i="49"/>
  <c r="R57" i="49" s="1"/>
  <c r="Q59" i="49" s="1"/>
  <c r="R56" i="49"/>
  <c r="U26" i="35"/>
  <c r="X56" i="49"/>
  <c r="X54" i="49"/>
  <c r="AA26" i="35"/>
  <c r="AH54" i="49"/>
  <c r="AH56" i="49"/>
  <c r="AH57" i="49" s="1"/>
  <c r="AK54" i="49"/>
  <c r="AK57" i="49" s="1"/>
  <c r="AK56" i="49"/>
  <c r="AI54" i="49"/>
  <c r="AI56" i="49"/>
  <c r="T54" i="49"/>
  <c r="T56" i="49"/>
  <c r="W26" i="35"/>
  <c r="W56" i="49"/>
  <c r="W54" i="49"/>
  <c r="Z26" i="35"/>
  <c r="AA54" i="49"/>
  <c r="AA56" i="49"/>
  <c r="AD26" i="35"/>
  <c r="I54" i="49"/>
  <c r="I56" i="49"/>
  <c r="L26" i="35"/>
  <c r="U54" i="49"/>
  <c r="U56" i="49"/>
  <c r="X26" i="35"/>
  <c r="AF56" i="49"/>
  <c r="AI26" i="35"/>
  <c r="AF54" i="49"/>
  <c r="AG54" i="49"/>
  <c r="AG56" i="49"/>
  <c r="AJ26" i="35"/>
  <c r="AI57" i="49" l="1"/>
  <c r="T34" i="35"/>
  <c r="T38" i="35" s="1"/>
  <c r="W34" i="35"/>
  <c r="W38" i="35" s="1"/>
  <c r="O34" i="35"/>
  <c r="O38" i="35" s="1"/>
  <c r="AA57" i="49"/>
  <c r="AC57" i="49"/>
  <c r="K57" i="49"/>
  <c r="K61" i="49" s="1"/>
  <c r="X34" i="35"/>
  <c r="X38" i="35" s="1"/>
  <c r="P57" i="49"/>
  <c r="P61" i="49" s="1"/>
  <c r="Z57" i="49"/>
  <c r="K34" i="35"/>
  <c r="K38" i="35" s="1"/>
  <c r="Y34" i="35"/>
  <c r="Y38" i="35" s="1"/>
  <c r="AE57" i="49"/>
  <c r="AD34" i="35"/>
  <c r="AD38" i="35" s="1"/>
  <c r="J57" i="49"/>
  <c r="J61" i="49" s="1"/>
  <c r="AE34" i="35"/>
  <c r="AE38" i="35" s="1"/>
  <c r="AA34" i="35"/>
  <c r="AA38" i="35" s="1"/>
  <c r="N57" i="49"/>
  <c r="N61" i="49" s="1"/>
  <c r="Q57" i="49"/>
  <c r="AC34" i="35"/>
  <c r="AC38" i="35" s="1"/>
  <c r="V34" i="35"/>
  <c r="V38" i="35" s="1"/>
  <c r="AF57" i="49"/>
  <c r="AJ34" i="35"/>
  <c r="AJ38" i="35" s="1"/>
  <c r="W57" i="49"/>
  <c r="L57" i="49"/>
  <c r="L61" i="49" s="1"/>
  <c r="H57" i="49"/>
  <c r="AG34" i="35"/>
  <c r="AG38" i="35" s="1"/>
  <c r="R40" i="35"/>
  <c r="R30" i="35"/>
  <c r="I46" i="35"/>
  <c r="Q61" i="49"/>
  <c r="H46" i="35"/>
  <c r="X30" i="35"/>
  <c r="W40" i="35"/>
  <c r="W30" i="35"/>
  <c r="X57" i="49"/>
  <c r="M34" i="35"/>
  <c r="M38" i="35" s="1"/>
  <c r="P34" i="35"/>
  <c r="P38" i="35" s="1"/>
  <c r="AE30" i="35"/>
  <c r="V57" i="49"/>
  <c r="N30" i="35"/>
  <c r="O40" i="35"/>
  <c r="O30" i="35"/>
  <c r="I37" i="53"/>
  <c r="L34" i="35"/>
  <c r="L38" i="35" s="1"/>
  <c r="AJ40" i="35"/>
  <c r="AJ30" i="35"/>
  <c r="AD30" i="35"/>
  <c r="AD40" i="35"/>
  <c r="U57" i="49"/>
  <c r="U30" i="35"/>
  <c r="S30" i="35"/>
  <c r="AF30" i="35"/>
  <c r="Y40" i="35"/>
  <c r="Y30" i="35"/>
  <c r="N34" i="35"/>
  <c r="N38" i="35" s="1"/>
  <c r="O57" i="49"/>
  <c r="D21" i="35"/>
  <c r="H17" i="29" s="1"/>
  <c r="F22" i="35"/>
  <c r="AG57" i="49"/>
  <c r="T57" i="49"/>
  <c r="Q30" i="35"/>
  <c r="AB57" i="49"/>
  <c r="G46" i="35"/>
  <c r="AH40" i="35"/>
  <c r="AH30" i="35"/>
  <c r="AB40" i="35"/>
  <c r="AB30" i="35"/>
  <c r="M61" i="49"/>
  <c r="AI34" i="35"/>
  <c r="AI38" i="35" s="1"/>
  <c r="Z30" i="35"/>
  <c r="S34" i="35"/>
  <c r="S38" i="35" s="1"/>
  <c r="AF34" i="35"/>
  <c r="AF38" i="35" s="1"/>
  <c r="Q34" i="35"/>
  <c r="Q38" i="35" s="1"/>
  <c r="AD57" i="49"/>
  <c r="T40" i="35"/>
  <c r="T30" i="35"/>
  <c r="AC30" i="35"/>
  <c r="AC40" i="35"/>
  <c r="V30" i="35"/>
  <c r="V40" i="35"/>
  <c r="L30" i="35"/>
  <c r="U34" i="35"/>
  <c r="U38" i="35" s="1"/>
  <c r="AI30" i="35"/>
  <c r="I57" i="49"/>
  <c r="Z34" i="35"/>
  <c r="Z38" i="35" s="1"/>
  <c r="AA30" i="35"/>
  <c r="M30" i="35"/>
  <c r="P30" i="35"/>
  <c r="J19" i="28"/>
  <c r="K40" i="35"/>
  <c r="K30" i="35"/>
  <c r="AG30" i="35"/>
  <c r="Y57" i="49"/>
  <c r="J46" i="35"/>
  <c r="N19" i="28" l="1"/>
  <c r="AI40" i="35"/>
  <c r="L40" i="35"/>
  <c r="AA40" i="35"/>
  <c r="K19" i="28"/>
  <c r="P40" i="35"/>
  <c r="P46" i="35" s="1"/>
  <c r="M40" i="35"/>
  <c r="M46" i="35" s="1"/>
  <c r="X40" i="35"/>
  <c r="W42" i="35" s="1"/>
  <c r="W43" i="35" s="1"/>
  <c r="L19" i="28"/>
  <c r="O19" i="28"/>
  <c r="Q40" i="35"/>
  <c r="P42" i="35" s="1"/>
  <c r="P19" i="28"/>
  <c r="AE40" i="35"/>
  <c r="AH42" i="35"/>
  <c r="AH43" i="35" s="1"/>
  <c r="J48" i="29"/>
  <c r="J49" i="29" s="1"/>
  <c r="N42" i="35"/>
  <c r="O46" i="35"/>
  <c r="G24" i="49"/>
  <c r="G25" i="49"/>
  <c r="H61" i="49"/>
  <c r="AD42" i="35"/>
  <c r="AD43" i="35" s="1"/>
  <c r="AG40" i="35"/>
  <c r="AB42" i="35"/>
  <c r="AB43" i="35" s="1"/>
  <c r="AG42" i="35"/>
  <c r="AG43" i="35" s="1"/>
  <c r="X42" i="35"/>
  <c r="X43" i="35" s="1"/>
  <c r="AC42" i="35"/>
  <c r="AC43" i="35" s="1"/>
  <c r="D30" i="35"/>
  <c r="Z40" i="35"/>
  <c r="N40" i="35"/>
  <c r="U42" i="35"/>
  <c r="U43" i="35" s="1"/>
  <c r="K46" i="35"/>
  <c r="L46" i="35"/>
  <c r="K42" i="35"/>
  <c r="AF40" i="35"/>
  <c r="S42" i="35"/>
  <c r="S43" i="35" s="1"/>
  <c r="F46" i="35"/>
  <c r="D22" i="35"/>
  <c r="AI42" i="35"/>
  <c r="AI43" i="35" s="1"/>
  <c r="M19" i="28"/>
  <c r="V42" i="35"/>
  <c r="V43" i="35" s="1"/>
  <c r="Z42" i="35"/>
  <c r="Z43" i="35" s="1"/>
  <c r="C41" i="56"/>
  <c r="H41" i="56"/>
  <c r="J17" i="29"/>
  <c r="J41" i="56" s="1"/>
  <c r="H18" i="29"/>
  <c r="S40" i="35"/>
  <c r="AA42" i="35"/>
  <c r="AA43" i="35" s="1"/>
  <c r="O42" i="35"/>
  <c r="I61" i="49"/>
  <c r="O61" i="49"/>
  <c r="U40" i="35"/>
  <c r="Q42" i="35"/>
  <c r="L42" i="35" l="1"/>
  <c r="K52" i="28" s="1"/>
  <c r="M42" i="35"/>
  <c r="N46" i="35"/>
  <c r="P43" i="35"/>
  <c r="F64" i="49"/>
  <c r="Y42" i="35"/>
  <c r="Y43" i="35" s="1"/>
  <c r="T42" i="35"/>
  <c r="T43" i="35" s="1"/>
  <c r="R42" i="35"/>
  <c r="R43" i="35" s="1"/>
  <c r="F23" i="28"/>
  <c r="F25" i="28" s="1"/>
  <c r="H42" i="56"/>
  <c r="G23" i="28"/>
  <c r="G25" i="28" s="1"/>
  <c r="H23" i="28"/>
  <c r="H25" i="28" s="1"/>
  <c r="I23" i="28"/>
  <c r="I25" i="28" s="1"/>
  <c r="J18" i="29"/>
  <c r="J42" i="56" s="1"/>
  <c r="AE42" i="35"/>
  <c r="AE43" i="35" s="1"/>
  <c r="AF42" i="35"/>
  <c r="AF43" i="35" s="1"/>
  <c r="L43" i="35"/>
  <c r="Q43" i="35"/>
  <c r="Q44" i="35" s="1"/>
  <c r="N43" i="35"/>
  <c r="O43" i="35"/>
  <c r="J52" i="28"/>
  <c r="K43" i="35"/>
  <c r="J53" i="28" s="1"/>
  <c r="J50" i="29"/>
  <c r="H20" i="51"/>
  <c r="Q46" i="35" l="1"/>
  <c r="F51" i="28"/>
  <c r="F27" i="28"/>
  <c r="G51" i="28"/>
  <c r="G27" i="28"/>
  <c r="L52" i="28"/>
  <c r="M43" i="35"/>
  <c r="H27" i="28"/>
  <c r="H51" i="28"/>
  <c r="U26" i="51"/>
  <c r="W26" i="51" s="1"/>
  <c r="Y26" i="51" s="1"/>
  <c r="E29" i="51"/>
  <c r="G29" i="51" s="1"/>
  <c r="I29" i="51" s="1"/>
  <c r="E33" i="51"/>
  <c r="G33" i="51" s="1"/>
  <c r="I33" i="51" s="1"/>
  <c r="E37" i="51"/>
  <c r="G37" i="51" s="1"/>
  <c r="I37" i="51" s="1"/>
  <c r="E41" i="51"/>
  <c r="G41" i="51" s="1"/>
  <c r="I41" i="51" s="1"/>
  <c r="E45" i="51"/>
  <c r="G45" i="51" s="1"/>
  <c r="I45" i="51" s="1"/>
  <c r="E49" i="51"/>
  <c r="G49" i="51" s="1"/>
  <c r="I49" i="51" s="1"/>
  <c r="E53" i="51"/>
  <c r="G53" i="51" s="1"/>
  <c r="I53" i="51" s="1"/>
  <c r="E52" i="51"/>
  <c r="G52" i="51" s="1"/>
  <c r="I52" i="51" s="1"/>
  <c r="U41" i="51"/>
  <c r="W41" i="51" s="1"/>
  <c r="Y41" i="51" s="1"/>
  <c r="E26" i="51"/>
  <c r="G26" i="51" s="1"/>
  <c r="I26" i="51" s="1"/>
  <c r="U28" i="51"/>
  <c r="W28" i="51" s="1"/>
  <c r="Y28" i="51" s="1"/>
  <c r="U32" i="51"/>
  <c r="W32" i="51" s="1"/>
  <c r="Y32" i="51" s="1"/>
  <c r="U36" i="51"/>
  <c r="W36" i="51" s="1"/>
  <c r="Y36" i="51" s="1"/>
  <c r="U40" i="51"/>
  <c r="W40" i="51" s="1"/>
  <c r="Y40" i="51" s="1"/>
  <c r="U44" i="51"/>
  <c r="W44" i="51" s="1"/>
  <c r="Y44" i="51" s="1"/>
  <c r="U48" i="51"/>
  <c r="W48" i="51" s="1"/>
  <c r="Y48" i="51" s="1"/>
  <c r="U52" i="51"/>
  <c r="W52" i="51" s="1"/>
  <c r="Y52" i="51" s="1"/>
  <c r="U37" i="51"/>
  <c r="W37" i="51" s="1"/>
  <c r="Y37" i="51" s="1"/>
  <c r="E28" i="51"/>
  <c r="G28" i="51" s="1"/>
  <c r="I28" i="51" s="1"/>
  <c r="E32" i="51"/>
  <c r="G32" i="51" s="1"/>
  <c r="I32" i="51" s="1"/>
  <c r="E36" i="51"/>
  <c r="G36" i="51" s="1"/>
  <c r="I36" i="51" s="1"/>
  <c r="E40" i="51"/>
  <c r="G40" i="51" s="1"/>
  <c r="I40" i="51" s="1"/>
  <c r="E44" i="51"/>
  <c r="G44" i="51" s="1"/>
  <c r="I44" i="51" s="1"/>
  <c r="E48" i="51"/>
  <c r="G48" i="51" s="1"/>
  <c r="I48" i="51" s="1"/>
  <c r="U53" i="51"/>
  <c r="W53" i="51" s="1"/>
  <c r="Y53" i="51" s="1"/>
  <c r="U27" i="51"/>
  <c r="W27" i="51" s="1"/>
  <c r="Y27" i="51" s="1"/>
  <c r="U31" i="51"/>
  <c r="W31" i="51" s="1"/>
  <c r="Y31" i="51" s="1"/>
  <c r="U35" i="51"/>
  <c r="W35" i="51" s="1"/>
  <c r="Y35" i="51" s="1"/>
  <c r="U39" i="51"/>
  <c r="W39" i="51" s="1"/>
  <c r="Y39" i="51" s="1"/>
  <c r="U43" i="51"/>
  <c r="W43" i="51" s="1"/>
  <c r="Y43" i="51" s="1"/>
  <c r="U47" i="51"/>
  <c r="W47" i="51" s="1"/>
  <c r="Y47" i="51" s="1"/>
  <c r="U51" i="51"/>
  <c r="W51" i="51" s="1"/>
  <c r="Y51" i="51" s="1"/>
  <c r="E27" i="51"/>
  <c r="G27" i="51" s="1"/>
  <c r="I27" i="51" s="1"/>
  <c r="E31" i="51"/>
  <c r="G31" i="51" s="1"/>
  <c r="I31" i="51" s="1"/>
  <c r="E35" i="51"/>
  <c r="G35" i="51" s="1"/>
  <c r="I35" i="51" s="1"/>
  <c r="E39" i="51"/>
  <c r="G39" i="51" s="1"/>
  <c r="I39" i="51" s="1"/>
  <c r="E43" i="51"/>
  <c r="G43" i="51" s="1"/>
  <c r="I43" i="51" s="1"/>
  <c r="E47" i="51"/>
  <c r="G47" i="51" s="1"/>
  <c r="I47" i="51" s="1"/>
  <c r="E51" i="51"/>
  <c r="G51" i="51" s="1"/>
  <c r="I51" i="51" s="1"/>
  <c r="U33" i="51"/>
  <c r="W33" i="51" s="1"/>
  <c r="Y33" i="51" s="1"/>
  <c r="U45" i="51"/>
  <c r="W45" i="51" s="1"/>
  <c r="Y45" i="51" s="1"/>
  <c r="U49" i="51"/>
  <c r="W49" i="51" s="1"/>
  <c r="Y49" i="51" s="1"/>
  <c r="U30" i="51"/>
  <c r="W30" i="51" s="1"/>
  <c r="Y30" i="51" s="1"/>
  <c r="U34" i="51"/>
  <c r="W34" i="51" s="1"/>
  <c r="Y34" i="51" s="1"/>
  <c r="U38" i="51"/>
  <c r="W38" i="51" s="1"/>
  <c r="Y38" i="51" s="1"/>
  <c r="U42" i="51"/>
  <c r="W42" i="51" s="1"/>
  <c r="Y42" i="51" s="1"/>
  <c r="U46" i="51"/>
  <c r="W46" i="51" s="1"/>
  <c r="Y46" i="51" s="1"/>
  <c r="U50" i="51"/>
  <c r="W50" i="51" s="1"/>
  <c r="Y50" i="51" s="1"/>
  <c r="U29" i="51"/>
  <c r="W29" i="51" s="1"/>
  <c r="Y29" i="51" s="1"/>
  <c r="E30" i="51"/>
  <c r="G30" i="51" s="1"/>
  <c r="I30" i="51" s="1"/>
  <c r="E34" i="51"/>
  <c r="G34" i="51" s="1"/>
  <c r="I34" i="51" s="1"/>
  <c r="E38" i="51"/>
  <c r="G38" i="51" s="1"/>
  <c r="I38" i="51" s="1"/>
  <c r="E42" i="51"/>
  <c r="G42" i="51" s="1"/>
  <c r="I42" i="51" s="1"/>
  <c r="E46" i="51"/>
  <c r="G46" i="51" s="1"/>
  <c r="I46" i="51" s="1"/>
  <c r="E50" i="51"/>
  <c r="G50" i="51" s="1"/>
  <c r="I50" i="51" s="1"/>
  <c r="K70" i="35"/>
  <c r="Q71" i="35"/>
  <c r="Q74" i="35" s="1"/>
  <c r="R69" i="35" s="1"/>
  <c r="I27" i="28"/>
  <c r="I51" i="28"/>
  <c r="AB41" i="51" l="1"/>
  <c r="AC41" i="51"/>
  <c r="AD41" i="51" s="1"/>
  <c r="AE41" i="51" s="1"/>
  <c r="AB48" i="51"/>
  <c r="AC48" i="51"/>
  <c r="AD48" i="51" s="1"/>
  <c r="AE48" i="51" s="1"/>
  <c r="L50" i="51"/>
  <c r="M50" i="51"/>
  <c r="N50" i="51" s="1"/>
  <c r="O50" i="51" s="1"/>
  <c r="M51" i="51"/>
  <c r="N51" i="51" s="1"/>
  <c r="O51" i="51" s="1"/>
  <c r="L51" i="51"/>
  <c r="AB47" i="51"/>
  <c r="AC47" i="51"/>
  <c r="AD47" i="51" s="1"/>
  <c r="AE47" i="51" s="1"/>
  <c r="L44" i="51"/>
  <c r="M44" i="51"/>
  <c r="N44" i="51" s="1"/>
  <c r="O44" i="51" s="1"/>
  <c r="AB44" i="51"/>
  <c r="AC44" i="51"/>
  <c r="AD44" i="51" s="1"/>
  <c r="AE44" i="51" s="1"/>
  <c r="L53" i="51"/>
  <c r="M53" i="51"/>
  <c r="N53" i="51" s="1"/>
  <c r="O53" i="51" s="1"/>
  <c r="AB29" i="51"/>
  <c r="AC29" i="51"/>
  <c r="AD29" i="51" s="1"/>
  <c r="AE29" i="51" s="1"/>
  <c r="L48" i="51"/>
  <c r="M48" i="51"/>
  <c r="N48" i="51" s="1"/>
  <c r="O48" i="51" s="1"/>
  <c r="AB26" i="51"/>
  <c r="AC26" i="51"/>
  <c r="AD26" i="51" s="1"/>
  <c r="AE26" i="51" s="1"/>
  <c r="AB46" i="51"/>
  <c r="AC46" i="51"/>
  <c r="AD46" i="51" s="1"/>
  <c r="AE46" i="51" s="1"/>
  <c r="L46" i="51"/>
  <c r="M46" i="51"/>
  <c r="N46" i="51" s="1"/>
  <c r="O46" i="51" s="1"/>
  <c r="AB42" i="51"/>
  <c r="AC42" i="51"/>
  <c r="AD42" i="51" s="1"/>
  <c r="AE42" i="51" s="1"/>
  <c r="M47" i="51"/>
  <c r="N47" i="51" s="1"/>
  <c r="O47" i="51" s="1"/>
  <c r="L47" i="51"/>
  <c r="AC43" i="51"/>
  <c r="AD43" i="51" s="1"/>
  <c r="AE43" i="51" s="1"/>
  <c r="AB43" i="51"/>
  <c r="L40" i="51"/>
  <c r="M40" i="51"/>
  <c r="N40" i="51" s="1"/>
  <c r="O40" i="51" s="1"/>
  <c r="AB40" i="51"/>
  <c r="AC40" i="51"/>
  <c r="AD40" i="51" s="1"/>
  <c r="AE40" i="51" s="1"/>
  <c r="L49" i="51"/>
  <c r="M49" i="51"/>
  <c r="N49" i="51" s="1"/>
  <c r="O49" i="51" s="1"/>
  <c r="R74" i="35"/>
  <c r="S69" i="35" s="1"/>
  <c r="R72" i="35"/>
  <c r="AB52" i="51"/>
  <c r="AC52" i="51"/>
  <c r="AD52" i="51" s="1"/>
  <c r="AE52" i="51" s="1"/>
  <c r="AB33" i="51"/>
  <c r="AC33" i="51"/>
  <c r="AD33" i="51" s="1"/>
  <c r="AE33" i="51" s="1"/>
  <c r="L52" i="51"/>
  <c r="M52" i="51"/>
  <c r="N52" i="51" s="1"/>
  <c r="O52" i="51" s="1"/>
  <c r="L42" i="51"/>
  <c r="M42" i="51"/>
  <c r="N42" i="51" s="1"/>
  <c r="O42" i="51" s="1"/>
  <c r="AB38" i="51"/>
  <c r="AC38" i="51"/>
  <c r="AD38" i="51" s="1"/>
  <c r="AE38" i="51" s="1"/>
  <c r="M43" i="51"/>
  <c r="N43" i="51" s="1"/>
  <c r="O43" i="51" s="1"/>
  <c r="L43" i="51"/>
  <c r="AB39" i="51"/>
  <c r="AC39" i="51"/>
  <c r="AD39" i="51" s="1"/>
  <c r="AE39" i="51" s="1"/>
  <c r="L36" i="51"/>
  <c r="M36" i="51"/>
  <c r="N36" i="51" s="1"/>
  <c r="O36" i="51" s="1"/>
  <c r="AB36" i="51"/>
  <c r="AC36" i="51"/>
  <c r="AD36" i="51" s="1"/>
  <c r="AE36" i="51" s="1"/>
  <c r="L45" i="51"/>
  <c r="M45" i="51"/>
  <c r="N45" i="51" s="1"/>
  <c r="O45" i="51" s="1"/>
  <c r="AB53" i="51"/>
  <c r="AC53" i="51"/>
  <c r="AD53" i="51" s="1"/>
  <c r="AE53" i="51" s="1"/>
  <c r="AB50" i="51"/>
  <c r="AC50" i="51"/>
  <c r="AD50" i="51" s="1"/>
  <c r="AE50" i="51" s="1"/>
  <c r="AB34" i="51"/>
  <c r="AC34" i="51"/>
  <c r="AD34" i="51" s="1"/>
  <c r="AE34" i="51" s="1"/>
  <c r="AC35" i="51"/>
  <c r="AD35" i="51" s="1"/>
  <c r="AE35" i="51" s="1"/>
  <c r="AB35" i="51"/>
  <c r="L32" i="51"/>
  <c r="M32" i="51"/>
  <c r="N32" i="51" s="1"/>
  <c r="O32" i="51" s="1"/>
  <c r="AB32" i="51"/>
  <c r="AC32" i="51"/>
  <c r="AD32" i="51" s="1"/>
  <c r="AE32" i="51" s="1"/>
  <c r="L41" i="51"/>
  <c r="M41" i="51"/>
  <c r="N41" i="51" s="1"/>
  <c r="O41" i="51" s="1"/>
  <c r="M27" i="51"/>
  <c r="N27" i="51" s="1"/>
  <c r="O27" i="51" s="1"/>
  <c r="L27" i="51"/>
  <c r="L38" i="51"/>
  <c r="M38" i="51"/>
  <c r="N38" i="51" s="1"/>
  <c r="O38" i="51" s="1"/>
  <c r="L34" i="51"/>
  <c r="M34" i="51"/>
  <c r="N34" i="51" s="1"/>
  <c r="O34" i="51" s="1"/>
  <c r="M35" i="51"/>
  <c r="N35" i="51" s="1"/>
  <c r="O35" i="51" s="1"/>
  <c r="L35" i="51"/>
  <c r="AC31" i="51"/>
  <c r="AD31" i="51" s="1"/>
  <c r="AE31" i="51" s="1"/>
  <c r="AB31" i="51"/>
  <c r="L28" i="51"/>
  <c r="M28" i="51"/>
  <c r="N28" i="51" s="1"/>
  <c r="O28" i="51" s="1"/>
  <c r="AB28" i="51"/>
  <c r="AC28" i="51"/>
  <c r="AD28" i="51" s="1"/>
  <c r="AE28" i="51" s="1"/>
  <c r="L37" i="51"/>
  <c r="M37" i="51"/>
  <c r="N37" i="51" s="1"/>
  <c r="O37" i="51" s="1"/>
  <c r="D49" i="35"/>
  <c r="D46" i="35"/>
  <c r="D48" i="35"/>
  <c r="AB45" i="51"/>
  <c r="AC45" i="51"/>
  <c r="AD45" i="51" s="1"/>
  <c r="AE45" i="51" s="1"/>
  <c r="L29" i="51"/>
  <c r="M29" i="51"/>
  <c r="N29" i="51" s="1"/>
  <c r="O29" i="51" s="1"/>
  <c r="AC51" i="51"/>
  <c r="AD51" i="51" s="1"/>
  <c r="AE51" i="51" s="1"/>
  <c r="AB51" i="51"/>
  <c r="M39" i="51"/>
  <c r="N39" i="51" s="1"/>
  <c r="O39" i="51" s="1"/>
  <c r="L39" i="51"/>
  <c r="AB30" i="51"/>
  <c r="AC30" i="51"/>
  <c r="AD30" i="51" s="1"/>
  <c r="AE30" i="51" s="1"/>
  <c r="L30" i="51"/>
  <c r="M30" i="51"/>
  <c r="N30" i="51" s="1"/>
  <c r="O30" i="51" s="1"/>
  <c r="AB49" i="51"/>
  <c r="AC49" i="51"/>
  <c r="AD49" i="51" s="1"/>
  <c r="AE49" i="51" s="1"/>
  <c r="M31" i="51"/>
  <c r="N31" i="51" s="1"/>
  <c r="O31" i="51" s="1"/>
  <c r="L31" i="51"/>
  <c r="AC27" i="51"/>
  <c r="AD27" i="51" s="1"/>
  <c r="AE27" i="51" s="1"/>
  <c r="AB27" i="51"/>
  <c r="AB37" i="51"/>
  <c r="AC37" i="51"/>
  <c r="AD37" i="51" s="1"/>
  <c r="AE37" i="51" s="1"/>
  <c r="M26" i="51"/>
  <c r="N26" i="51" s="1"/>
  <c r="O26" i="51" s="1"/>
  <c r="L26" i="51"/>
  <c r="L33" i="51"/>
  <c r="M33" i="51"/>
  <c r="N33" i="51" s="1"/>
  <c r="O33" i="51" s="1"/>
  <c r="S74" i="35" l="1"/>
  <c r="T69" i="35" s="1"/>
  <c r="S72" i="35"/>
  <c r="AD55" i="51"/>
  <c r="AD56" i="51" s="1"/>
  <c r="H26" i="43" s="1"/>
  <c r="N55" i="51"/>
  <c r="N56" i="51" s="1"/>
  <c r="M50" i="56" l="1"/>
  <c r="O30" i="57"/>
  <c r="P30" i="57"/>
  <c r="Q30" i="57"/>
  <c r="R30" i="57"/>
  <c r="S30" i="57"/>
  <c r="M94" i="28"/>
  <c r="H27" i="29"/>
  <c r="T74" i="35"/>
  <c r="U69" i="35" s="1"/>
  <c r="T72" i="35"/>
  <c r="U74" i="35" l="1"/>
  <c r="V69" i="35" s="1"/>
  <c r="U72" i="35"/>
  <c r="E31" i="57"/>
  <c r="F31" i="57"/>
  <c r="G31" i="57"/>
  <c r="H31" i="57"/>
  <c r="C51" i="56"/>
  <c r="I31" i="57"/>
  <c r="J31" i="57"/>
  <c r="H51" i="56"/>
  <c r="D31" i="57"/>
  <c r="V72" i="35" l="1"/>
  <c r="V74" i="35"/>
  <c r="W69" i="35" s="1"/>
  <c r="W72" i="35" l="1"/>
  <c r="W74" i="35"/>
  <c r="X69" i="35" s="1"/>
  <c r="X72" i="35" l="1"/>
  <c r="X74" i="35"/>
  <c r="Y69" i="35" s="1"/>
  <c r="Y72" i="35" l="1"/>
  <c r="Y74" i="35"/>
  <c r="Z69" i="35" s="1"/>
  <c r="Z74" i="35" l="1"/>
  <c r="AA69" i="35" s="1"/>
  <c r="Z72" i="35"/>
  <c r="AA74" i="35" l="1"/>
  <c r="AB69" i="35" s="1"/>
  <c r="AA72" i="35"/>
  <c r="AB74" i="35" l="1"/>
  <c r="AC69" i="35" s="1"/>
  <c r="AB72" i="35"/>
  <c r="AC74" i="35" l="1"/>
  <c r="AD69" i="35" s="1"/>
  <c r="AC72" i="35"/>
  <c r="AD72" i="35" l="1"/>
  <c r="AD74" i="35"/>
  <c r="AE69" i="35" s="1"/>
  <c r="AE72" i="35" l="1"/>
  <c r="AE74" i="35"/>
  <c r="AF69" i="35" s="1"/>
  <c r="AF72" i="35" l="1"/>
  <c r="AF74" i="35"/>
  <c r="AG69" i="35" s="1"/>
  <c r="AG72" i="35" l="1"/>
  <c r="AG74" i="35"/>
  <c r="AH69" i="35" s="1"/>
  <c r="AH74" i="35" l="1"/>
  <c r="AI69" i="35" s="1"/>
  <c r="AH72" i="35"/>
  <c r="AI74" i="35" l="1"/>
  <c r="AJ69" i="35" s="1"/>
  <c r="AI72" i="35"/>
  <c r="AJ74" i="35" l="1"/>
  <c r="AJ72" i="35"/>
  <c r="F24" i="37"/>
  <c r="L34" i="37"/>
  <c r="L35" i="37"/>
  <c r="L39" i="37" s="1"/>
  <c r="U12" i="49" l="1"/>
  <c r="D13" i="37"/>
  <c r="D16" i="37"/>
  <c r="X31" i="37"/>
  <c r="X35" i="37"/>
  <c r="D47" i="37"/>
  <c r="D59" i="37"/>
  <c r="H59" i="37"/>
  <c r="D62" i="37"/>
  <c r="H62" i="37"/>
  <c r="J15" i="56"/>
  <c r="J18" i="56"/>
  <c r="I16" i="56" s="1"/>
  <c r="G12" i="46"/>
  <c r="M12" i="46"/>
  <c r="N12" i="46"/>
  <c r="M17" i="46"/>
  <c r="M18" i="46"/>
  <c r="M40" i="46"/>
  <c r="Q40" i="46"/>
  <c r="V40" i="46"/>
  <c r="Y40" i="46"/>
  <c r="Z40" i="46"/>
  <c r="H46" i="46"/>
  <c r="I46" i="46"/>
  <c r="J46" i="46"/>
  <c r="K46" i="46"/>
  <c r="L46" i="46"/>
  <c r="M46" i="46"/>
  <c r="N46" i="46"/>
  <c r="O46" i="46"/>
  <c r="P46" i="46"/>
  <c r="Q46" i="46"/>
  <c r="R46" i="46"/>
  <c r="S46" i="46"/>
  <c r="T46" i="46"/>
  <c r="U46" i="46"/>
  <c r="V46" i="46"/>
  <c r="W46" i="46"/>
  <c r="X46" i="46"/>
  <c r="Y46" i="46"/>
  <c r="Z46" i="46"/>
  <c r="AA46" i="46"/>
  <c r="AB46" i="46"/>
  <c r="AC46" i="46"/>
  <c r="AD46" i="46"/>
  <c r="AE46" i="46"/>
  <c r="AF46" i="46"/>
  <c r="AG46" i="46"/>
  <c r="AH46" i="46"/>
  <c r="AI46" i="46"/>
  <c r="AJ46" i="46"/>
  <c r="AK46" i="46"/>
  <c r="Z50" i="46"/>
  <c r="H57" i="46"/>
  <c r="Q84" i="46"/>
  <c r="Q86" i="46" s="1"/>
  <c r="Q88" i="46" s="1"/>
  <c r="H85" i="46"/>
  <c r="I85" i="46"/>
  <c r="J85" i="46"/>
  <c r="K85" i="46"/>
  <c r="L85" i="46"/>
  <c r="M85" i="46"/>
  <c r="N85" i="46"/>
  <c r="O85" i="46"/>
  <c r="P85" i="46"/>
  <c r="Q85" i="46"/>
  <c r="R85" i="46"/>
  <c r="S85" i="46"/>
  <c r="T85" i="46"/>
  <c r="U85" i="46"/>
  <c r="V85" i="46"/>
  <c r="W85" i="46"/>
  <c r="X85" i="46"/>
  <c r="Y85" i="46"/>
  <c r="Z85" i="46"/>
  <c r="AA85" i="46"/>
  <c r="AB85" i="46"/>
  <c r="AC85" i="46"/>
  <c r="AD85" i="46"/>
  <c r="AE85" i="46"/>
  <c r="AF85" i="46"/>
  <c r="AG85" i="46"/>
  <c r="AH85" i="46"/>
  <c r="AI85" i="46"/>
  <c r="AJ85" i="46"/>
  <c r="AK85" i="46"/>
  <c r="Q19" i="44"/>
  <c r="AC20" i="44"/>
  <c r="AD20" i="44"/>
  <c r="H15" i="43"/>
  <c r="N19" i="44" s="1"/>
  <c r="H16" i="43"/>
  <c r="P20" i="44" s="1"/>
  <c r="J19" i="44" l="1"/>
  <c r="H14" i="37"/>
  <c r="H13" i="37" s="1"/>
  <c r="C44" i="37"/>
  <c r="C42" i="37"/>
  <c r="L57" i="37" s="1"/>
  <c r="C43" i="37"/>
  <c r="L58" i="37" s="1"/>
  <c r="U12" i="50" s="1"/>
  <c r="Q20" i="44"/>
  <c r="Q22" i="44" s="1"/>
  <c r="I19" i="44"/>
  <c r="AH19" i="44"/>
  <c r="AD19" i="44"/>
  <c r="AD22" i="44" s="1"/>
  <c r="X19" i="44"/>
  <c r="J15" i="43"/>
  <c r="O39" i="56" s="1"/>
  <c r="V19" i="44"/>
  <c r="X20" i="44"/>
  <c r="X22" i="44" s="1"/>
  <c r="O47" i="46"/>
  <c r="W47" i="46"/>
  <c r="AE47" i="46"/>
  <c r="H47" i="46"/>
  <c r="P47" i="46"/>
  <c r="X47" i="46"/>
  <c r="AF47" i="46"/>
  <c r="K47" i="46"/>
  <c r="S47" i="46"/>
  <c r="AA47" i="46"/>
  <c r="AI47" i="46"/>
  <c r="J47" i="46"/>
  <c r="V47" i="46"/>
  <c r="AJ47" i="46"/>
  <c r="L47" i="46"/>
  <c r="Y47" i="46"/>
  <c r="AK47" i="46"/>
  <c r="R47" i="46"/>
  <c r="AD47" i="46"/>
  <c r="AB47" i="46"/>
  <c r="I47" i="46"/>
  <c r="AC47" i="46"/>
  <c r="Q47" i="46"/>
  <c r="T47" i="46"/>
  <c r="U47" i="46"/>
  <c r="AG47" i="46"/>
  <c r="Z47" i="46"/>
  <c r="AH47" i="46"/>
  <c r="M47" i="46"/>
  <c r="C40" i="56"/>
  <c r="K20" i="44"/>
  <c r="S20" i="44"/>
  <c r="AA20" i="44"/>
  <c r="AI20" i="44"/>
  <c r="J16" i="43"/>
  <c r="O40" i="56" s="1"/>
  <c r="M40" i="56"/>
  <c r="L20" i="44"/>
  <c r="T20" i="44"/>
  <c r="AB20" i="44"/>
  <c r="AJ20" i="44"/>
  <c r="G20" i="44"/>
  <c r="O20" i="44"/>
  <c r="W20" i="44"/>
  <c r="AE20" i="44"/>
  <c r="F20" i="44"/>
  <c r="R20" i="44"/>
  <c r="AF20" i="44"/>
  <c r="H20" i="44"/>
  <c r="U20" i="44"/>
  <c r="AG20" i="44"/>
  <c r="I20" i="44"/>
  <c r="V20" i="44"/>
  <c r="V22" i="44" s="1"/>
  <c r="AH20" i="44"/>
  <c r="AH22" i="44" s="1"/>
  <c r="M20" i="44"/>
  <c r="Y20" i="44"/>
  <c r="N20" i="44"/>
  <c r="N22" i="44" s="1"/>
  <c r="Z20" i="44"/>
  <c r="J20" i="44"/>
  <c r="J22" i="44" s="1"/>
  <c r="N47" i="46"/>
  <c r="Z41" i="46"/>
  <c r="Z84" i="46"/>
  <c r="Z86" i="46" s="1"/>
  <c r="Z88" i="46" s="1"/>
  <c r="Z43" i="46"/>
  <c r="Y41" i="46"/>
  <c r="Y43" i="46" s="1"/>
  <c r="Y50" i="46"/>
  <c r="Y84" i="46"/>
  <c r="Y86" i="46" s="1"/>
  <c r="Y88" i="46" s="1"/>
  <c r="H18" i="43"/>
  <c r="AG19" i="44"/>
  <c r="U19" i="44"/>
  <c r="H19" i="44"/>
  <c r="V84" i="46"/>
  <c r="V86" i="46" s="1"/>
  <c r="V88" i="46" s="1"/>
  <c r="V50" i="46"/>
  <c r="V41" i="46"/>
  <c r="V43" i="46" s="1"/>
  <c r="AF19" i="44"/>
  <c r="AF22" i="44" s="1"/>
  <c r="R19" i="44"/>
  <c r="R22" i="44" s="1"/>
  <c r="F19" i="44"/>
  <c r="Q41" i="46"/>
  <c r="Q43" i="46" s="1"/>
  <c r="Q50" i="46"/>
  <c r="M13" i="46"/>
  <c r="M14" i="46" s="1"/>
  <c r="O40" i="46"/>
  <c r="W40" i="46"/>
  <c r="AE40" i="46"/>
  <c r="H40" i="46"/>
  <c r="P40" i="46"/>
  <c r="X40" i="46"/>
  <c r="AF40" i="46"/>
  <c r="K40" i="46"/>
  <c r="S40" i="46"/>
  <c r="AA40" i="46"/>
  <c r="AI40" i="46"/>
  <c r="T40" i="46"/>
  <c r="AG40" i="46"/>
  <c r="I40" i="46"/>
  <c r="U40" i="46"/>
  <c r="AH40" i="46"/>
  <c r="M21" i="46"/>
  <c r="N40" i="46"/>
  <c r="AB40" i="46"/>
  <c r="J40" i="46"/>
  <c r="AC40" i="46"/>
  <c r="L40" i="46"/>
  <c r="AD40" i="46"/>
  <c r="R40" i="46"/>
  <c r="AC19" i="44"/>
  <c r="AC22" i="44" s="1"/>
  <c r="P19" i="44"/>
  <c r="P22" i="44" s="1"/>
  <c r="M50" i="46"/>
  <c r="M41" i="46"/>
  <c r="M43" i="46"/>
  <c r="M84" i="46"/>
  <c r="M86" i="46" s="1"/>
  <c r="M88" i="46" s="1"/>
  <c r="Z19" i="44"/>
  <c r="AK40" i="46"/>
  <c r="C39" i="56"/>
  <c r="M39" i="56"/>
  <c r="K19" i="44"/>
  <c r="K22" i="44" s="1"/>
  <c r="S19" i="44"/>
  <c r="AA19" i="44"/>
  <c r="AI19" i="44"/>
  <c r="L19" i="44"/>
  <c r="L22" i="44" s="1"/>
  <c r="T19" i="44"/>
  <c r="T22" i="44" s="1"/>
  <c r="AB19" i="44"/>
  <c r="AB22" i="44" s="1"/>
  <c r="AJ19" i="44"/>
  <c r="G19" i="44"/>
  <c r="G22" i="44" s="1"/>
  <c r="O19" i="44"/>
  <c r="O22" i="44" s="1"/>
  <c r="W19" i="44"/>
  <c r="AE19" i="44"/>
  <c r="Y19" i="44"/>
  <c r="Y22" i="44" s="1"/>
  <c r="M19" i="44"/>
  <c r="M22" i="44" s="1"/>
  <c r="AJ40" i="46"/>
  <c r="M20" i="46"/>
  <c r="Y33" i="37"/>
  <c r="Y30" i="37"/>
  <c r="Y29" i="37"/>
  <c r="Y32" i="37"/>
  <c r="Y34" i="37"/>
  <c r="Y31" i="37"/>
  <c r="C15" i="37"/>
  <c r="C11" i="37"/>
  <c r="E16" i="56"/>
  <c r="E15" i="56" s="1"/>
  <c r="E38" i="56"/>
  <c r="C12" i="37"/>
  <c r="C13" i="37"/>
  <c r="E41" i="56"/>
  <c r="C14" i="37"/>
  <c r="J77" i="28"/>
  <c r="J81" i="28" s="1"/>
  <c r="K77" i="28"/>
  <c r="K81" i="28" s="1"/>
  <c r="F88" i="28"/>
  <c r="L77" i="28"/>
  <c r="L81" i="28" s="1"/>
  <c r="M19" i="46"/>
  <c r="I13" i="56"/>
  <c r="I15" i="56"/>
  <c r="I17" i="56"/>
  <c r="I14" i="56"/>
  <c r="AI22" i="44" l="1"/>
  <c r="U22" i="44"/>
  <c r="AA22" i="44"/>
  <c r="I22" i="44"/>
  <c r="I46" i="44" s="1"/>
  <c r="AB27" i="44"/>
  <c r="M24" i="46"/>
  <c r="R41" i="46"/>
  <c r="R84" i="46"/>
  <c r="R86" i="46" s="1"/>
  <c r="R88" i="46" s="1"/>
  <c r="R43" i="46"/>
  <c r="R50" i="46"/>
  <c r="Y27" i="44"/>
  <c r="AE22" i="44"/>
  <c r="AD84" i="46"/>
  <c r="AD86" i="46" s="1"/>
  <c r="AD88" i="46" s="1"/>
  <c r="AD50" i="46"/>
  <c r="AD41" i="46"/>
  <c r="AD43" i="46"/>
  <c r="I18" i="56"/>
  <c r="Y35" i="37"/>
  <c r="W22" i="44"/>
  <c r="Z22" i="44"/>
  <c r="L43" i="46"/>
  <c r="L84" i="46"/>
  <c r="L86" i="46" s="1"/>
  <c r="L88" i="46" s="1"/>
  <c r="L41" i="46"/>
  <c r="L50" i="46"/>
  <c r="U50" i="46"/>
  <c r="U41" i="46"/>
  <c r="U43" i="46"/>
  <c r="U84" i="46"/>
  <c r="U86" i="46" s="1"/>
  <c r="U88" i="46" s="1"/>
  <c r="AF43" i="46"/>
  <c r="AF84" i="46"/>
  <c r="AF86" i="46" s="1"/>
  <c r="AF88" i="46" s="1"/>
  <c r="AF50" i="46"/>
  <c r="AF41" i="46"/>
  <c r="S50" i="46"/>
  <c r="S84" i="46"/>
  <c r="S86" i="46" s="1"/>
  <c r="S88" i="46" s="1"/>
  <c r="S41" i="46"/>
  <c r="S43" i="46" s="1"/>
  <c r="AK50" i="46"/>
  <c r="AK41" i="46"/>
  <c r="AK43" i="46"/>
  <c r="AK84" i="46"/>
  <c r="AK86" i="46" s="1"/>
  <c r="AK88" i="46" s="1"/>
  <c r="AH41" i="46"/>
  <c r="AH43" i="46" s="1"/>
  <c r="AH84" i="46"/>
  <c r="AH86" i="46" s="1"/>
  <c r="AH88" i="46" s="1"/>
  <c r="AH50" i="46"/>
  <c r="AH51" i="46" s="1"/>
  <c r="I48" i="46"/>
  <c r="Q48" i="46"/>
  <c r="Q51" i="46" s="1"/>
  <c r="Y48" i="46"/>
  <c r="Y51" i="46" s="1"/>
  <c r="AG48" i="46"/>
  <c r="AG51" i="46" s="1"/>
  <c r="AJ35" i="44" s="1"/>
  <c r="AJ38" i="44" s="1"/>
  <c r="J48" i="46"/>
  <c r="R48" i="46"/>
  <c r="Z48" i="46"/>
  <c r="AH48" i="46"/>
  <c r="M48" i="46"/>
  <c r="U48" i="46"/>
  <c r="U51" i="46" s="1"/>
  <c r="X35" i="44" s="1"/>
  <c r="X38" i="44" s="1"/>
  <c r="AC48" i="46"/>
  <c r="AC51" i="46" s="1"/>
  <c r="AF35" i="44" s="1"/>
  <c r="AF38" i="44" s="1"/>
  <c r="AK48" i="46"/>
  <c r="AK51" i="46" s="1"/>
  <c r="S48" i="46"/>
  <c r="AE48" i="46"/>
  <c r="T48" i="46"/>
  <c r="AF48" i="46"/>
  <c r="AF51" i="46" s="1"/>
  <c r="AI35" i="44" s="1"/>
  <c r="AI38" i="44" s="1"/>
  <c r="N48" i="46"/>
  <c r="AA48" i="46"/>
  <c r="P48" i="46"/>
  <c r="P51" i="46" s="1"/>
  <c r="S35" i="44" s="1"/>
  <c r="S38" i="44" s="1"/>
  <c r="V48" i="46"/>
  <c r="V51" i="46" s="1"/>
  <c r="H48" i="46"/>
  <c r="H51" i="46" s="1"/>
  <c r="AB48" i="46"/>
  <c r="AB51" i="46" s="1"/>
  <c r="AE35" i="44" s="1"/>
  <c r="AE38" i="44" s="1"/>
  <c r="W48" i="46"/>
  <c r="X48" i="46"/>
  <c r="X51" i="46" s="1"/>
  <c r="AA35" i="44" s="1"/>
  <c r="AA38" i="44" s="1"/>
  <c r="AI48" i="46"/>
  <c r="AD48" i="46"/>
  <c r="AJ48" i="46"/>
  <c r="AJ51" i="46" s="1"/>
  <c r="K48" i="46"/>
  <c r="K51" i="46" s="1"/>
  <c r="N35" i="44" s="1"/>
  <c r="N38" i="44" s="1"/>
  <c r="L48" i="46"/>
  <c r="O48" i="46"/>
  <c r="S22" i="44"/>
  <c r="AC50" i="46"/>
  <c r="AC41" i="46"/>
  <c r="AC84" i="46"/>
  <c r="AC86" i="46" s="1"/>
  <c r="AC88" i="46" s="1"/>
  <c r="AC43" i="46"/>
  <c r="I41" i="46"/>
  <c r="I43" i="46" s="1"/>
  <c r="I53" i="46" s="1"/>
  <c r="I59" i="46" s="1"/>
  <c r="I63" i="46" s="1"/>
  <c r="I50" i="46"/>
  <c r="I84" i="46"/>
  <c r="I86" i="46" s="1"/>
  <c r="I88" i="46" s="1"/>
  <c r="X43" i="46"/>
  <c r="X50" i="46"/>
  <c r="X41" i="46"/>
  <c r="X84" i="46"/>
  <c r="X86" i="46" s="1"/>
  <c r="X88" i="46" s="1"/>
  <c r="T27" i="44"/>
  <c r="H22" i="44"/>
  <c r="AC27" i="44"/>
  <c r="L46" i="44"/>
  <c r="O84" i="46"/>
  <c r="O86" i="46" s="1"/>
  <c r="O88" i="46" s="1"/>
  <c r="O41" i="46"/>
  <c r="O43" i="46" s="1"/>
  <c r="O50" i="46"/>
  <c r="K50" i="46"/>
  <c r="K41" i="46"/>
  <c r="K43" i="46" s="1"/>
  <c r="K84" i="46"/>
  <c r="K86" i="46" s="1"/>
  <c r="K88" i="46" s="1"/>
  <c r="G46" i="44"/>
  <c r="C16" i="37"/>
  <c r="K49" i="46"/>
  <c r="S49" i="46"/>
  <c r="AA49" i="46"/>
  <c r="AI49" i="46"/>
  <c r="L49" i="46"/>
  <c r="L51" i="46" s="1"/>
  <c r="O35" i="44" s="1"/>
  <c r="O38" i="44" s="1"/>
  <c r="T49" i="46"/>
  <c r="AB49" i="46"/>
  <c r="AJ49" i="46"/>
  <c r="O49" i="46"/>
  <c r="W49" i="46"/>
  <c r="AE49" i="46"/>
  <c r="N49" i="46"/>
  <c r="N51" i="46" s="1"/>
  <c r="Q35" i="44" s="1"/>
  <c r="Q38" i="44" s="1"/>
  <c r="Z49" i="46"/>
  <c r="Z51" i="46" s="1"/>
  <c r="P49" i="46"/>
  <c r="AC49" i="46"/>
  <c r="I49" i="46"/>
  <c r="V49" i="46"/>
  <c r="AH49" i="46"/>
  <c r="H49" i="46"/>
  <c r="AD49" i="46"/>
  <c r="AD51" i="46" s="1"/>
  <c r="AG35" i="44" s="1"/>
  <c r="AG38" i="44" s="1"/>
  <c r="J49" i="46"/>
  <c r="J51" i="46" s="1"/>
  <c r="AF49" i="46"/>
  <c r="R49" i="46"/>
  <c r="X49" i="46"/>
  <c r="Y49" i="46"/>
  <c r="AG49" i="46"/>
  <c r="AK49" i="46"/>
  <c r="Q49" i="46"/>
  <c r="M49" i="46"/>
  <c r="M51" i="46" s="1"/>
  <c r="U49" i="46"/>
  <c r="AJ22" i="44"/>
  <c r="P27" i="44"/>
  <c r="T84" i="46"/>
  <c r="T86" i="46" s="1"/>
  <c r="T88" i="46" s="1"/>
  <c r="T41" i="46"/>
  <c r="T43" i="46" s="1"/>
  <c r="T50" i="46"/>
  <c r="H84" i="46"/>
  <c r="H86" i="46" s="1"/>
  <c r="H88" i="46" s="1"/>
  <c r="H41" i="46"/>
  <c r="H50" i="46"/>
  <c r="H43" i="46"/>
  <c r="F22" i="44"/>
  <c r="D19" i="44"/>
  <c r="AG22" i="44"/>
  <c r="M22" i="46"/>
  <c r="J46" i="44"/>
  <c r="K46" i="44"/>
  <c r="AG41" i="46"/>
  <c r="AG43" i="46" s="1"/>
  <c r="AG50" i="46"/>
  <c r="AG84" i="46"/>
  <c r="AG86" i="46" s="1"/>
  <c r="AG88" i="46" s="1"/>
  <c r="AJ50" i="46"/>
  <c r="AJ41" i="46"/>
  <c r="AJ43" i="46" s="1"/>
  <c r="AJ53" i="46" s="1"/>
  <c r="AJ84" i="46"/>
  <c r="AJ86" i="46" s="1"/>
  <c r="AJ88" i="46" s="1"/>
  <c r="E39" i="56"/>
  <c r="AB43" i="46"/>
  <c r="AB41" i="46"/>
  <c r="AB50" i="46"/>
  <c r="AB84" i="46"/>
  <c r="AB86" i="46" s="1"/>
  <c r="AB88" i="46" s="1"/>
  <c r="AI43" i="46"/>
  <c r="AI50" i="46"/>
  <c r="AI41" i="46"/>
  <c r="AI84" i="46"/>
  <c r="AI86" i="46" s="1"/>
  <c r="AI88" i="46" s="1"/>
  <c r="AE84" i="46"/>
  <c r="AE86" i="46" s="1"/>
  <c r="AE88" i="46" s="1"/>
  <c r="AE50" i="46"/>
  <c r="AE41" i="46"/>
  <c r="AE43" i="46" s="1"/>
  <c r="K23" i="28"/>
  <c r="K25" i="28" s="1"/>
  <c r="C42" i="56"/>
  <c r="L23" i="28"/>
  <c r="L25" i="28" s="1"/>
  <c r="M42" i="56"/>
  <c r="M23" i="28"/>
  <c r="E102" i="28"/>
  <c r="J23" i="28"/>
  <c r="J25" i="28" s="1"/>
  <c r="J18" i="43"/>
  <c r="O42" i="56" s="1"/>
  <c r="E40" i="56"/>
  <c r="J41" i="46"/>
  <c r="J84" i="46"/>
  <c r="J86" i="46" s="1"/>
  <c r="J88" i="46" s="1"/>
  <c r="J43" i="46"/>
  <c r="J50" i="46"/>
  <c r="P41" i="46"/>
  <c r="P84" i="46"/>
  <c r="P86" i="46" s="1"/>
  <c r="P88" i="46" s="1"/>
  <c r="P43" i="46"/>
  <c r="P50" i="46"/>
  <c r="M46" i="44"/>
  <c r="N84" i="46"/>
  <c r="N86" i="46" s="1"/>
  <c r="N88" i="46" s="1"/>
  <c r="N50" i="46"/>
  <c r="N41" i="46"/>
  <c r="N43" i="46" s="1"/>
  <c r="AA84" i="46"/>
  <c r="AA86" i="46" s="1"/>
  <c r="AA88" i="46" s="1"/>
  <c r="AA50" i="46"/>
  <c r="AA41" i="46"/>
  <c r="AA43" i="46" s="1"/>
  <c r="W84" i="46"/>
  <c r="W86" i="46" s="1"/>
  <c r="W88" i="46" s="1"/>
  <c r="W43" i="46"/>
  <c r="W50" i="46"/>
  <c r="W41" i="46"/>
  <c r="D20" i="44"/>
  <c r="I51" i="46"/>
  <c r="W27" i="44" l="1"/>
  <c r="Y35" i="44"/>
  <c r="Y38" i="44" s="1"/>
  <c r="V53" i="46"/>
  <c r="AH53" i="46"/>
  <c r="P35" i="44"/>
  <c r="P38" i="44" s="1"/>
  <c r="M53" i="46"/>
  <c r="M59" i="46" s="1"/>
  <c r="M63" i="46" s="1"/>
  <c r="AC35" i="44"/>
  <c r="AC38" i="44" s="1"/>
  <c r="Z53" i="46"/>
  <c r="K53" i="46"/>
  <c r="K59" i="46" s="1"/>
  <c r="K63" i="46" s="1"/>
  <c r="N27" i="44"/>
  <c r="AB35" i="44"/>
  <c r="AB38" i="44" s="1"/>
  <c r="Y53" i="46"/>
  <c r="O53" i="46"/>
  <c r="O59" i="46" s="1"/>
  <c r="O63" i="46" s="1"/>
  <c r="R27" i="44"/>
  <c r="V27" i="44"/>
  <c r="AA53" i="46"/>
  <c r="AD27" i="44"/>
  <c r="AH27" i="44"/>
  <c r="AG53" i="46"/>
  <c r="AJ27" i="44"/>
  <c r="N53" i="46"/>
  <c r="N59" i="46" s="1"/>
  <c r="N63" i="46" s="1"/>
  <c r="Q27" i="44"/>
  <c r="T35" i="44"/>
  <c r="T38" i="44" s="1"/>
  <c r="Q53" i="46"/>
  <c r="Q59" i="46" s="1"/>
  <c r="K27" i="28"/>
  <c r="K51" i="28"/>
  <c r="AF53" i="46"/>
  <c r="AI27" i="44"/>
  <c r="J51" i="28"/>
  <c r="J27" i="28"/>
  <c r="J55" i="28"/>
  <c r="F46" i="44"/>
  <c r="D22" i="44"/>
  <c r="AA51" i="46"/>
  <c r="AD35" i="44" s="1"/>
  <c r="AD38" i="44" s="1"/>
  <c r="U53" i="46"/>
  <c r="X27" i="44"/>
  <c r="Y40" i="44"/>
  <c r="Y30" i="44"/>
  <c r="W53" i="46"/>
  <c r="Z27" i="44"/>
  <c r="AC53" i="46"/>
  <c r="AF27" i="44"/>
  <c r="L55" i="28"/>
  <c r="I55" i="28"/>
  <c r="H53" i="46"/>
  <c r="P40" i="44"/>
  <c r="P30" i="44"/>
  <c r="AI51" i="46"/>
  <c r="AB53" i="46"/>
  <c r="AE27" i="44"/>
  <c r="AC30" i="44"/>
  <c r="AC40" i="44"/>
  <c r="AA27" i="44"/>
  <c r="X53" i="46"/>
  <c r="W51" i="46"/>
  <c r="Z35" i="44" s="1"/>
  <c r="Z38" i="44" s="1"/>
  <c r="T51" i="46"/>
  <c r="W35" i="44" s="1"/>
  <c r="W38" i="44" s="1"/>
  <c r="H55" i="28"/>
  <c r="AG27" i="44"/>
  <c r="AD53" i="46"/>
  <c r="R53" i="46"/>
  <c r="R59" i="46" s="1"/>
  <c r="U27" i="44"/>
  <c r="O27" i="44"/>
  <c r="L53" i="46"/>
  <c r="L59" i="46" s="1"/>
  <c r="L63" i="46" s="1"/>
  <c r="K55" i="28"/>
  <c r="L51" i="28"/>
  <c r="L27" i="28"/>
  <c r="H56" i="46"/>
  <c r="F55" i="28"/>
  <c r="H46" i="44"/>
  <c r="O51" i="46"/>
  <c r="R35" i="44" s="1"/>
  <c r="R38" i="44" s="1"/>
  <c r="AE51" i="46"/>
  <c r="AH35" i="44" s="1"/>
  <c r="AH38" i="44" s="1"/>
  <c r="R51" i="46"/>
  <c r="U35" i="44" s="1"/>
  <c r="U38" i="44" s="1"/>
  <c r="AB40" i="44"/>
  <c r="AB30" i="44"/>
  <c r="AI53" i="46"/>
  <c r="J53" i="46"/>
  <c r="J59" i="46" s="1"/>
  <c r="J63" i="46" s="1"/>
  <c r="AK53" i="46"/>
  <c r="P53" i="46"/>
  <c r="P59" i="46" s="1"/>
  <c r="P63" i="46" s="1"/>
  <c r="S27" i="44"/>
  <c r="E42" i="56"/>
  <c r="T40" i="44"/>
  <c r="T30" i="44"/>
  <c r="S51" i="46"/>
  <c r="V35" i="44" s="1"/>
  <c r="V38" i="44" s="1"/>
  <c r="AA42" i="44" l="1"/>
  <c r="AA43" i="44" s="1"/>
  <c r="E55" i="28"/>
  <c r="AB42" i="44"/>
  <c r="AB43" i="44" s="1"/>
  <c r="H59" i="46"/>
  <c r="H63" i="46" s="1"/>
  <c r="AE53" i="46"/>
  <c r="AA40" i="44"/>
  <c r="AA30" i="44"/>
  <c r="AG40" i="44"/>
  <c r="AG30" i="44"/>
  <c r="AD30" i="44"/>
  <c r="AD40" i="44"/>
  <c r="M20" i="28"/>
  <c r="M25" i="28" s="1"/>
  <c r="N30" i="44"/>
  <c r="N40" i="44"/>
  <c r="S42" i="44"/>
  <c r="S43" i="44" s="1"/>
  <c r="X42" i="44"/>
  <c r="X43" i="44" s="1"/>
  <c r="G55" i="28"/>
  <c r="X40" i="44"/>
  <c r="X30" i="44"/>
  <c r="P20" i="28"/>
  <c r="P25" i="28" s="1"/>
  <c r="Q40" i="44"/>
  <c r="Q30" i="44"/>
  <c r="S53" i="46"/>
  <c r="W40" i="44"/>
  <c r="W30" i="44"/>
  <c r="U30" i="44"/>
  <c r="U40" i="44"/>
  <c r="R63" i="46"/>
  <c r="Q61" i="46"/>
  <c r="Q62" i="46" s="1"/>
  <c r="Z40" i="44"/>
  <c r="Z30" i="44"/>
  <c r="AE30" i="44"/>
  <c r="AE40" i="44"/>
  <c r="V30" i="44"/>
  <c r="V40" i="44"/>
  <c r="T53" i="46"/>
  <c r="O42" i="44"/>
  <c r="P46" i="44"/>
  <c r="O20" i="28"/>
  <c r="O25" i="28" s="1"/>
  <c r="AH30" i="44"/>
  <c r="AH40" i="44"/>
  <c r="S30" i="44"/>
  <c r="S40" i="44"/>
  <c r="N20" i="28"/>
  <c r="N25" i="28" s="1"/>
  <c r="O40" i="44"/>
  <c r="O30" i="44"/>
  <c r="AF40" i="44"/>
  <c r="AF30" i="44"/>
  <c r="AI30" i="44"/>
  <c r="AI40" i="44"/>
  <c r="AJ40" i="44"/>
  <c r="AJ30" i="44"/>
  <c r="R30" i="44"/>
  <c r="R40" i="44"/>
  <c r="P51" i="28" l="1"/>
  <c r="T42" i="44"/>
  <c r="T43" i="44" s="1"/>
  <c r="AF42" i="44"/>
  <c r="AF43" i="44" s="1"/>
  <c r="W42" i="44"/>
  <c r="W43" i="44" s="1"/>
  <c r="N46" i="44"/>
  <c r="N27" i="28"/>
  <c r="N51" i="28"/>
  <c r="AD42" i="44"/>
  <c r="AD43" i="44" s="1"/>
  <c r="Z42" i="44"/>
  <c r="Z43" i="44" s="1"/>
  <c r="J23" i="56"/>
  <c r="O46" i="44"/>
  <c r="N42" i="44"/>
  <c r="AE42" i="44"/>
  <c r="AE43" i="44" s="1"/>
  <c r="M51" i="28"/>
  <c r="M27" i="28"/>
  <c r="AH42" i="44"/>
  <c r="AH43" i="44" s="1"/>
  <c r="AC42" i="44"/>
  <c r="AC43" i="44" s="1"/>
  <c r="O27" i="28"/>
  <c r="O51" i="28"/>
  <c r="N52" i="28"/>
  <c r="O43" i="44"/>
  <c r="V42" i="44"/>
  <c r="V43" i="44" s="1"/>
  <c r="R42" i="44"/>
  <c r="R43" i="44" s="1"/>
  <c r="U42" i="44"/>
  <c r="U43" i="44" s="1"/>
  <c r="Y42" i="44"/>
  <c r="Y43" i="44" s="1"/>
  <c r="Q42" i="44"/>
  <c r="O55" i="28"/>
  <c r="AI42" i="44"/>
  <c r="AI43" i="44" s="1"/>
  <c r="AG42" i="44"/>
  <c r="AG43" i="44" s="1"/>
  <c r="J47" i="43"/>
  <c r="J48" i="43" s="1"/>
  <c r="P42" i="44"/>
  <c r="Q63" i="46"/>
  <c r="G66" i="46" l="1"/>
  <c r="P52" i="28"/>
  <c r="K62" i="28" s="1"/>
  <c r="Q43" i="44"/>
  <c r="Q44" i="44" s="1"/>
  <c r="M52" i="28"/>
  <c r="N43" i="44"/>
  <c r="J49" i="43"/>
  <c r="X20" i="51"/>
  <c r="N55" i="28"/>
  <c r="O52" i="28"/>
  <c r="P43" i="44"/>
  <c r="M55" i="28"/>
  <c r="Q70" i="44" l="1"/>
  <c r="Q73" i="44" s="1"/>
  <c r="R68" i="44" s="1"/>
  <c r="Q69" i="44"/>
  <c r="P26" i="28"/>
  <c r="P27" i="28" s="1"/>
  <c r="Q46" i="44"/>
  <c r="P55" i="28" l="1"/>
  <c r="E61" i="28" s="1"/>
  <c r="J26" i="56" s="1"/>
  <c r="D47" i="44"/>
  <c r="D46" i="44"/>
  <c r="J22" i="56" s="1"/>
  <c r="D48" i="44"/>
  <c r="R71" i="44"/>
  <c r="R73" i="44"/>
  <c r="S68" i="44" s="1"/>
  <c r="S73" i="44" l="1"/>
  <c r="T68" i="44" s="1"/>
  <c r="S71" i="44"/>
  <c r="T73" i="44" l="1"/>
  <c r="U68" i="44" s="1"/>
  <c r="T71" i="44"/>
  <c r="U73" i="44" l="1"/>
  <c r="V68" i="44" s="1"/>
  <c r="U71" i="44"/>
  <c r="V73" i="44" l="1"/>
  <c r="W68" i="44" s="1"/>
  <c r="V71" i="44"/>
  <c r="W73" i="44" l="1"/>
  <c r="X68" i="44" s="1"/>
  <c r="W71" i="44"/>
  <c r="X71" i="44" l="1"/>
  <c r="X73" i="44"/>
  <c r="Y68" i="44" s="1"/>
  <c r="Y71" i="44" l="1"/>
  <c r="Y73" i="44"/>
  <c r="Z68" i="44" s="1"/>
  <c r="Z71" i="44" l="1"/>
  <c r="Z73" i="44"/>
  <c r="AA68" i="44" s="1"/>
  <c r="AA71" i="44" l="1"/>
  <c r="AA72" i="44"/>
  <c r="AA73" i="44" s="1"/>
  <c r="AB68" i="44" s="1"/>
  <c r="AB73" i="44" l="1"/>
  <c r="AC68" i="44" s="1"/>
  <c r="AB71" i="44"/>
  <c r="AC73" i="44" l="1"/>
  <c r="AD68" i="44" s="1"/>
  <c r="AC71" i="44"/>
  <c r="AD71" i="44" l="1"/>
  <c r="AD73" i="44"/>
  <c r="AE68" i="44" s="1"/>
  <c r="AE73" i="44" l="1"/>
  <c r="AF68" i="44" s="1"/>
  <c r="AE71" i="44"/>
  <c r="AF73" i="44" l="1"/>
  <c r="AG68" i="44" s="1"/>
  <c r="AF71" i="44"/>
  <c r="AG71" i="44" l="1"/>
  <c r="AG73" i="44"/>
  <c r="AH68" i="44" s="1"/>
  <c r="AH71" i="44" l="1"/>
  <c r="AH73" i="44"/>
  <c r="AI68" i="44" s="1"/>
  <c r="AI73" i="44" l="1"/>
  <c r="AJ68" i="44" s="1"/>
  <c r="AI71" i="44"/>
  <c r="AJ73" i="44" l="1"/>
  <c r="AJ71" i="44"/>
  <c r="C47" i="37"/>
  <c r="F47" i="37"/>
  <c r="L59" i="37"/>
  <c r="L62" i="37"/>
  <c r="P34" i="37"/>
  <c r="T34" i="37"/>
  <c r="P35" i="37"/>
  <c r="T35" i="37"/>
  <c r="P36" i="37"/>
  <c r="T36" i="37"/>
  <c r="P37" i="37"/>
  <c r="T37" i="37"/>
  <c r="P38" i="37"/>
  <c r="T38" i="37"/>
  <c r="P39" i="37"/>
  <c r="T39" i="37"/>
  <c r="P57" i="37"/>
  <c r="T57" i="37"/>
  <c r="P58" i="37"/>
  <c r="T58" i="37"/>
  <c r="P59" i="37"/>
  <c r="T59" i="37"/>
  <c r="P60" i="37"/>
  <c r="T60" i="37"/>
  <c r="P61" i="37"/>
  <c r="T61" i="37"/>
  <c r="P62" i="37"/>
  <c r="T62" i="37"/>
  <c r="D29" i="57"/>
  <c r="G29" i="57"/>
  <c r="O29" i="57"/>
  <c r="P29" i="57"/>
  <c r="Q29" i="57"/>
  <c r="D30" i="57"/>
  <c r="G30" i="57"/>
  <c r="H30" i="57"/>
  <c r="I30" i="57"/>
  <c r="J21" i="56"/>
  <c r="J25" i="56"/>
  <c r="D38" i="56"/>
  <c r="I38" i="56"/>
  <c r="N38" i="56"/>
  <c r="D39" i="56"/>
  <c r="I39" i="56"/>
  <c r="N39" i="56"/>
  <c r="D40" i="56"/>
  <c r="I40" i="56"/>
  <c r="N40" i="56"/>
  <c r="D41" i="56"/>
  <c r="I41" i="56"/>
  <c r="N41" i="56"/>
  <c r="D42" i="56"/>
  <c r="I42" i="56"/>
  <c r="N42" i="56"/>
  <c r="C43" i="56"/>
  <c r="D43" i="56"/>
  <c r="E43" i="56"/>
  <c r="H43" i="56"/>
  <c r="I43" i="56"/>
  <c r="J43" i="56"/>
  <c r="M43" i="56"/>
  <c r="N43" i="56"/>
  <c r="O43" i="56"/>
  <c r="C44" i="56"/>
  <c r="D44" i="56"/>
  <c r="E44" i="56"/>
  <c r="H44" i="56"/>
  <c r="I44" i="56"/>
  <c r="J44" i="56"/>
  <c r="M44" i="56"/>
  <c r="N44" i="56"/>
  <c r="O44" i="56"/>
  <c r="C45" i="56"/>
  <c r="D45" i="56"/>
  <c r="H45" i="56"/>
  <c r="I45" i="56"/>
  <c r="M45" i="56"/>
  <c r="N45" i="56"/>
  <c r="C48" i="56"/>
  <c r="D48" i="56"/>
  <c r="H48" i="56"/>
  <c r="I48" i="56"/>
  <c r="M48" i="56"/>
  <c r="N48" i="56"/>
  <c r="C49" i="56"/>
  <c r="D49" i="56"/>
  <c r="H49" i="56"/>
  <c r="I49" i="56"/>
  <c r="M49" i="56"/>
  <c r="N49" i="56"/>
  <c r="C50" i="56"/>
  <c r="D50" i="56"/>
  <c r="H50" i="56"/>
  <c r="I50" i="56"/>
  <c r="N50" i="56"/>
  <c r="D51" i="56"/>
  <c r="I51" i="56"/>
  <c r="N51" i="56"/>
  <c r="D52" i="56"/>
  <c r="I52" i="56"/>
  <c r="M52" i="56"/>
  <c r="N52" i="56"/>
  <c r="C53" i="56"/>
  <c r="D53" i="56"/>
  <c r="H53" i="56"/>
  <c r="I53" i="56"/>
  <c r="C54" i="56"/>
  <c r="D54" i="56"/>
  <c r="H54" i="56"/>
  <c r="I54" i="56"/>
  <c r="M54" i="56"/>
  <c r="N54" i="56"/>
  <c r="C55" i="56"/>
  <c r="G32" i="28"/>
  <c r="H32" i="28"/>
  <c r="I32" i="28"/>
  <c r="J32" i="28"/>
  <c r="K32" i="28"/>
  <c r="L32" i="28"/>
  <c r="G33" i="28"/>
  <c r="H33" i="28"/>
  <c r="I33" i="28"/>
  <c r="J33" i="28"/>
  <c r="K33" i="28"/>
  <c r="L33" i="28"/>
  <c r="G34" i="28"/>
  <c r="H34" i="28"/>
  <c r="I34" i="28"/>
  <c r="J34" i="28"/>
  <c r="K34" i="28"/>
  <c r="L34" i="28"/>
  <c r="G35" i="28"/>
  <c r="H35" i="28"/>
  <c r="I35" i="28"/>
  <c r="J35" i="28"/>
  <c r="K35" i="28"/>
  <c r="L35" i="28"/>
  <c r="G36" i="28"/>
  <c r="H36" i="28"/>
  <c r="I36" i="28"/>
  <c r="J36" i="28"/>
  <c r="K36" i="28"/>
  <c r="L36" i="28"/>
  <c r="G48" i="28"/>
  <c r="H48" i="28"/>
  <c r="I48" i="28"/>
  <c r="J48" i="28"/>
  <c r="K48" i="28"/>
  <c r="L48" i="28"/>
  <c r="G54" i="28"/>
  <c r="H54" i="28"/>
  <c r="I54" i="28"/>
  <c r="J54" i="28"/>
  <c r="K54" i="28"/>
  <c r="L54" i="28"/>
  <c r="E56" i="28"/>
  <c r="F56" i="28"/>
  <c r="G56" i="28"/>
  <c r="H56" i="28"/>
  <c r="I56" i="28"/>
  <c r="J56" i="28"/>
  <c r="K56" i="28"/>
  <c r="L56" i="28"/>
  <c r="M56" i="28"/>
  <c r="N56" i="28"/>
  <c r="O56" i="28"/>
  <c r="P56" i="28"/>
  <c r="E58" i="28"/>
  <c r="E59" i="28"/>
  <c r="E62" i="28"/>
  <c r="G86" i="28"/>
  <c r="H86" i="28"/>
  <c r="M86" i="28"/>
  <c r="O86" i="28"/>
  <c r="G87" i="28"/>
  <c r="H87" i="28"/>
  <c r="M87" i="28"/>
  <c r="O87" i="28"/>
  <c r="G88" i="28"/>
  <c r="H88" i="28"/>
  <c r="M88" i="28"/>
  <c r="O88" i="28"/>
  <c r="G89" i="28"/>
  <c r="H89" i="28"/>
  <c r="G90" i="28"/>
  <c r="H90" i="28"/>
  <c r="M91" i="28"/>
  <c r="O91" i="28"/>
  <c r="O94" i="28"/>
  <c r="O95" i="28"/>
  <c r="M97" i="28"/>
  <c r="O97" i="28"/>
  <c r="R97" i="28"/>
  <c r="E104" i="28"/>
  <c r="R12" i="49"/>
  <c r="U13" i="49"/>
  <c r="R15" i="49"/>
  <c r="U16" i="49"/>
  <c r="U18" i="49"/>
  <c r="U19" i="49"/>
  <c r="U20" i="49"/>
  <c r="U22" i="49"/>
  <c r="G23" i="49"/>
  <c r="Q23" i="49"/>
  <c r="R23" i="49"/>
  <c r="Q24" i="49"/>
  <c r="R24" i="49"/>
  <c r="Q25" i="49"/>
  <c r="R25" i="49"/>
  <c r="Q26" i="49"/>
  <c r="R26" i="49"/>
  <c r="S26" i="49"/>
  <c r="R29" i="49"/>
  <c r="R31" i="49"/>
  <c r="G42" i="49"/>
  <c r="G61" i="49"/>
  <c r="F63" i="49"/>
  <c r="F65" i="49"/>
  <c r="F66" i="49"/>
  <c r="F67" i="49"/>
  <c r="G69" i="49"/>
  <c r="Q70" i="49"/>
  <c r="H71" i="49"/>
  <c r="I71" i="49"/>
  <c r="J71" i="49"/>
  <c r="K71" i="49"/>
  <c r="L71" i="49"/>
  <c r="M71" i="49"/>
  <c r="N71" i="49"/>
  <c r="O71" i="49"/>
  <c r="P71" i="49"/>
  <c r="Q71" i="49"/>
  <c r="G73" i="49"/>
  <c r="H73" i="49"/>
  <c r="I73" i="49"/>
  <c r="J73" i="49"/>
  <c r="K73" i="49"/>
  <c r="L73" i="49"/>
  <c r="M73" i="49"/>
  <c r="N73" i="49"/>
  <c r="O73" i="49"/>
  <c r="P73" i="49"/>
  <c r="Q73" i="49"/>
  <c r="F75" i="49"/>
  <c r="F76" i="49"/>
  <c r="F77" i="49"/>
  <c r="F78" i="49"/>
  <c r="F79" i="49"/>
  <c r="H82" i="49"/>
  <c r="I82" i="49"/>
  <c r="J82" i="49"/>
  <c r="K82" i="49"/>
  <c r="L82" i="49"/>
  <c r="M82" i="49"/>
  <c r="N82" i="49"/>
  <c r="O82" i="49"/>
  <c r="P82" i="49"/>
  <c r="Q82" i="49"/>
  <c r="R82" i="49"/>
  <c r="S82" i="49"/>
  <c r="T82" i="49"/>
  <c r="U82" i="49"/>
  <c r="V82" i="49"/>
  <c r="W82" i="49"/>
  <c r="X82" i="49"/>
  <c r="Y82" i="49"/>
  <c r="Z82" i="49"/>
  <c r="AA82" i="49"/>
  <c r="AB82" i="49"/>
  <c r="AC82" i="49"/>
  <c r="AD82" i="49"/>
  <c r="AE82" i="49"/>
  <c r="AF82" i="49"/>
  <c r="AG82" i="49"/>
  <c r="AH82" i="49"/>
  <c r="AI82" i="49"/>
  <c r="AJ82" i="49"/>
  <c r="AK82" i="49"/>
  <c r="H83" i="49"/>
  <c r="I83" i="49"/>
  <c r="J83" i="49"/>
  <c r="K83" i="49"/>
  <c r="L83" i="49"/>
  <c r="M83" i="49"/>
  <c r="N83" i="49"/>
  <c r="O83" i="49"/>
  <c r="P83" i="49"/>
  <c r="Q83" i="49"/>
  <c r="R83" i="49"/>
  <c r="S83" i="49"/>
  <c r="T83" i="49"/>
  <c r="U83" i="49"/>
  <c r="V83" i="49"/>
  <c r="W83" i="49"/>
  <c r="X83" i="49"/>
  <c r="Y83" i="49"/>
  <c r="Z83" i="49"/>
  <c r="AA83" i="49"/>
  <c r="AB83" i="49"/>
  <c r="AC83" i="49"/>
  <c r="AD83" i="49"/>
  <c r="AE83" i="49"/>
  <c r="AF83" i="49"/>
  <c r="AG83" i="49"/>
  <c r="AH83" i="49"/>
  <c r="AI83" i="49"/>
  <c r="AJ83" i="49"/>
  <c r="AK83" i="49"/>
  <c r="H84" i="49"/>
  <c r="I84" i="49"/>
  <c r="J84" i="49"/>
  <c r="K84" i="49"/>
  <c r="L84" i="49"/>
  <c r="M84" i="49"/>
  <c r="N84" i="49"/>
  <c r="O84" i="49"/>
  <c r="P84" i="49"/>
  <c r="Q84" i="49"/>
  <c r="R84" i="49"/>
  <c r="S84" i="49"/>
  <c r="T84" i="49"/>
  <c r="U84" i="49"/>
  <c r="V84" i="49"/>
  <c r="W84" i="49"/>
  <c r="X84" i="49"/>
  <c r="Y84" i="49"/>
  <c r="Z84" i="49"/>
  <c r="AA84" i="49"/>
  <c r="AB84" i="49"/>
  <c r="AC84" i="49"/>
  <c r="AD84" i="49"/>
  <c r="AE84" i="49"/>
  <c r="AF84" i="49"/>
  <c r="AG84" i="49"/>
  <c r="AH84" i="49"/>
  <c r="AI84" i="49"/>
  <c r="AJ84" i="49"/>
  <c r="AK84" i="49"/>
  <c r="H85" i="49"/>
  <c r="I85" i="49"/>
  <c r="J85" i="49"/>
  <c r="K85" i="49"/>
  <c r="L85" i="49"/>
  <c r="M85" i="49"/>
  <c r="N85" i="49"/>
  <c r="O85" i="49"/>
  <c r="P85" i="49"/>
  <c r="Q85" i="49"/>
  <c r="H86" i="49"/>
  <c r="I86" i="49"/>
  <c r="J86" i="49"/>
  <c r="K86" i="49"/>
  <c r="L86" i="49"/>
  <c r="M86" i="49"/>
  <c r="N86" i="49"/>
  <c r="O86" i="49"/>
  <c r="P86" i="49"/>
  <c r="Q86" i="49"/>
  <c r="H87" i="49"/>
  <c r="I87" i="49"/>
  <c r="J87" i="49"/>
  <c r="K87" i="49"/>
  <c r="L87" i="49"/>
  <c r="M87" i="49"/>
  <c r="N87" i="49"/>
  <c r="O87" i="49"/>
  <c r="P87" i="49"/>
  <c r="Q87" i="49"/>
  <c r="R87" i="49"/>
  <c r="S87" i="49"/>
  <c r="T87" i="49"/>
  <c r="U87" i="49"/>
  <c r="V87" i="49"/>
  <c r="W87" i="49"/>
  <c r="X87" i="49"/>
  <c r="Y87" i="49"/>
  <c r="Z87" i="49"/>
  <c r="AA87" i="49"/>
  <c r="AB87" i="49"/>
  <c r="AC87" i="49"/>
  <c r="AD87" i="49"/>
  <c r="AE87" i="49"/>
  <c r="AF87" i="49"/>
  <c r="AG87" i="49"/>
  <c r="AH87" i="49"/>
  <c r="AI87" i="49"/>
  <c r="AJ87" i="49"/>
  <c r="AK87" i="49"/>
  <c r="R12" i="40"/>
  <c r="R13" i="40"/>
  <c r="R14" i="40"/>
  <c r="R17" i="40"/>
  <c r="R18" i="40"/>
  <c r="R19" i="40"/>
  <c r="G32" i="40"/>
  <c r="G33" i="40"/>
  <c r="G38" i="40"/>
  <c r="G59" i="40"/>
  <c r="G63" i="40"/>
  <c r="G65" i="40"/>
  <c r="G67" i="40"/>
  <c r="G68" i="40"/>
  <c r="G69" i="40"/>
  <c r="G71" i="40"/>
  <c r="Q72" i="40"/>
  <c r="H73" i="40"/>
  <c r="I73" i="40"/>
  <c r="J73" i="40"/>
  <c r="K73" i="40"/>
  <c r="L73" i="40"/>
  <c r="M73" i="40"/>
  <c r="N73" i="40"/>
  <c r="O73" i="40"/>
  <c r="P73" i="40"/>
  <c r="Q73" i="40"/>
  <c r="G75" i="40"/>
  <c r="H75" i="40"/>
  <c r="I75" i="40"/>
  <c r="J75" i="40"/>
  <c r="K75" i="40"/>
  <c r="L75" i="40"/>
  <c r="M75" i="40"/>
  <c r="N75" i="40"/>
  <c r="O75" i="40"/>
  <c r="P75" i="40"/>
  <c r="Q75" i="40"/>
  <c r="G77" i="40"/>
  <c r="G78" i="40"/>
  <c r="G79" i="40"/>
  <c r="G80" i="40"/>
  <c r="G81" i="40"/>
  <c r="E92" i="40"/>
  <c r="L6" i="41"/>
  <c r="L7" i="41"/>
  <c r="L8" i="41"/>
  <c r="L11" i="41"/>
  <c r="L12" i="41"/>
  <c r="L13" i="41"/>
  <c r="G26" i="41"/>
  <c r="G27" i="41"/>
  <c r="G30" i="41"/>
  <c r="G61" i="41"/>
  <c r="G65" i="41"/>
  <c r="G67" i="41"/>
  <c r="G69" i="41"/>
  <c r="G70" i="41"/>
  <c r="G71" i="41"/>
  <c r="G73" i="41"/>
  <c r="Q74" i="41"/>
  <c r="H75" i="41"/>
  <c r="I75" i="41"/>
  <c r="J75" i="41"/>
  <c r="K75" i="41"/>
  <c r="L75" i="41"/>
  <c r="M75" i="41"/>
  <c r="N75" i="41"/>
  <c r="O75" i="41"/>
  <c r="P75" i="41"/>
  <c r="Q75" i="41"/>
  <c r="G77" i="41"/>
  <c r="H77" i="41"/>
  <c r="I77" i="41"/>
  <c r="J77" i="41"/>
  <c r="K77" i="41"/>
  <c r="L77" i="41"/>
  <c r="M77" i="41"/>
  <c r="N77" i="41"/>
  <c r="O77" i="41"/>
  <c r="P77" i="41"/>
  <c r="Q77" i="41"/>
  <c r="G79" i="41"/>
  <c r="G80" i="41"/>
  <c r="G81" i="41"/>
  <c r="G82" i="41"/>
  <c r="G83" i="41"/>
  <c r="E87" i="41"/>
  <c r="R12" i="39"/>
  <c r="R15" i="39"/>
  <c r="Q23" i="39"/>
  <c r="R23" i="39"/>
  <c r="Q24" i="39"/>
  <c r="R24" i="39"/>
  <c r="R25" i="39"/>
  <c r="G27" i="39"/>
  <c r="R28" i="39"/>
  <c r="R30" i="39"/>
  <c r="G42" i="39"/>
  <c r="G62" i="39"/>
  <c r="F64" i="39"/>
  <c r="F66" i="39"/>
  <c r="F67" i="39"/>
  <c r="F68" i="39"/>
  <c r="G70" i="39"/>
  <c r="Q71" i="39"/>
  <c r="H72" i="39"/>
  <c r="I72" i="39"/>
  <c r="J72" i="39"/>
  <c r="K72" i="39"/>
  <c r="L72" i="39"/>
  <c r="M72" i="39"/>
  <c r="N72" i="39"/>
  <c r="O72" i="39"/>
  <c r="P72" i="39"/>
  <c r="Q72" i="39"/>
  <c r="G74" i="39"/>
  <c r="H74" i="39"/>
  <c r="I74" i="39"/>
  <c r="J74" i="39"/>
  <c r="K74" i="39"/>
  <c r="L74" i="39"/>
  <c r="M74" i="39"/>
  <c r="N74" i="39"/>
  <c r="O74" i="39"/>
  <c r="P74" i="39"/>
  <c r="Q74" i="39"/>
  <c r="F76" i="39"/>
  <c r="F77" i="39"/>
  <c r="F78" i="39"/>
  <c r="F79" i="39"/>
  <c r="F80" i="39"/>
  <c r="H83" i="39"/>
  <c r="I83" i="39"/>
  <c r="J83" i="39"/>
  <c r="K83" i="39"/>
  <c r="L83" i="39"/>
  <c r="M83" i="39"/>
  <c r="N83" i="39"/>
  <c r="O83" i="39"/>
  <c r="P83" i="39"/>
  <c r="Q83" i="39"/>
  <c r="R83" i="39"/>
  <c r="S83" i="39"/>
  <c r="T83" i="39"/>
  <c r="U83" i="39"/>
  <c r="V83" i="39"/>
  <c r="W83" i="39"/>
  <c r="X83" i="39"/>
  <c r="Y83" i="39"/>
  <c r="Z83" i="39"/>
  <c r="AA83" i="39"/>
  <c r="AB83" i="39"/>
  <c r="AC83" i="39"/>
  <c r="AD83" i="39"/>
  <c r="AE83" i="39"/>
  <c r="AF83" i="39"/>
  <c r="AG83" i="39"/>
  <c r="AH83" i="39"/>
  <c r="AI83" i="39"/>
  <c r="AJ83" i="39"/>
  <c r="AK83" i="39"/>
  <c r="H84" i="39"/>
  <c r="I84" i="39"/>
  <c r="J84" i="39"/>
  <c r="K84" i="39"/>
  <c r="L84" i="39"/>
  <c r="M84" i="39"/>
  <c r="N84" i="39"/>
  <c r="O84" i="39"/>
  <c r="P84" i="39"/>
  <c r="Q84" i="39"/>
  <c r="R84" i="39"/>
  <c r="S84" i="39"/>
  <c r="T84" i="39"/>
  <c r="U84" i="39"/>
  <c r="V84" i="39"/>
  <c r="W84" i="39"/>
  <c r="X84" i="39"/>
  <c r="Y84" i="39"/>
  <c r="Z84" i="39"/>
  <c r="AA84" i="39"/>
  <c r="AB84" i="39"/>
  <c r="AC84" i="39"/>
  <c r="AD84" i="39"/>
  <c r="AE84" i="39"/>
  <c r="AF84" i="39"/>
  <c r="AG84" i="39"/>
  <c r="AH84" i="39"/>
  <c r="AI84" i="39"/>
  <c r="AJ84" i="39"/>
  <c r="AK84" i="39"/>
  <c r="H85" i="39"/>
  <c r="I85" i="39"/>
  <c r="J85" i="39"/>
  <c r="K85" i="39"/>
  <c r="L85" i="39"/>
  <c r="M85" i="39"/>
  <c r="N85" i="39"/>
  <c r="O85" i="39"/>
  <c r="P85" i="39"/>
  <c r="Q85" i="39"/>
  <c r="R85" i="39"/>
  <c r="S85" i="39"/>
  <c r="T85" i="39"/>
  <c r="U85" i="39"/>
  <c r="V85" i="39"/>
  <c r="W85" i="39"/>
  <c r="X85" i="39"/>
  <c r="Y85" i="39"/>
  <c r="Z85" i="39"/>
  <c r="AA85" i="39"/>
  <c r="AB85" i="39"/>
  <c r="AC85" i="39"/>
  <c r="AD85" i="39"/>
  <c r="AE85" i="39"/>
  <c r="AF85" i="39"/>
  <c r="AG85" i="39"/>
  <c r="AH85" i="39"/>
  <c r="AI85" i="39"/>
  <c r="AJ85" i="39"/>
  <c r="AK85" i="39"/>
  <c r="H86" i="39"/>
  <c r="I86" i="39"/>
  <c r="J86" i="39"/>
  <c r="K86" i="39"/>
  <c r="L86" i="39"/>
  <c r="M86" i="39"/>
  <c r="N86" i="39"/>
  <c r="O86" i="39"/>
  <c r="P86" i="39"/>
  <c r="Q86" i="39"/>
  <c r="H87" i="39"/>
  <c r="I87" i="39"/>
  <c r="J87" i="39"/>
  <c r="K87" i="39"/>
  <c r="L87" i="39"/>
  <c r="M87" i="39"/>
  <c r="N87" i="39"/>
  <c r="O87" i="39"/>
  <c r="P87" i="39"/>
  <c r="Q87" i="39"/>
  <c r="H88" i="39"/>
  <c r="I88" i="39"/>
  <c r="J88" i="39"/>
  <c r="K88" i="39"/>
  <c r="L88" i="39"/>
  <c r="M88" i="39"/>
  <c r="N88" i="39"/>
  <c r="O88" i="39"/>
  <c r="P88" i="39"/>
  <c r="Q88" i="39"/>
  <c r="R88" i="39"/>
  <c r="S88" i="39"/>
  <c r="T88" i="39"/>
  <c r="U88" i="39"/>
  <c r="V88" i="39"/>
  <c r="W88" i="39"/>
  <c r="X88" i="39"/>
  <c r="Y88" i="39"/>
  <c r="Z88" i="39"/>
  <c r="AA88" i="39"/>
  <c r="AB88" i="39"/>
  <c r="AC88" i="39"/>
  <c r="AD88" i="39"/>
  <c r="AE88" i="39"/>
  <c r="AF88" i="39"/>
  <c r="AG88" i="39"/>
  <c r="AH88" i="39"/>
  <c r="AI88" i="39"/>
  <c r="AJ88" i="39"/>
  <c r="AK88" i="39"/>
  <c r="R12" i="42"/>
  <c r="R13" i="42"/>
  <c r="R14" i="42"/>
  <c r="R17" i="42"/>
  <c r="R18" i="42"/>
  <c r="R19" i="42"/>
  <c r="G34" i="42"/>
  <c r="G35" i="42"/>
  <c r="G40" i="42"/>
  <c r="G61" i="42"/>
  <c r="G65" i="42"/>
  <c r="G67" i="42"/>
  <c r="G69" i="42"/>
  <c r="G70" i="42"/>
  <c r="G71" i="42"/>
  <c r="G73" i="42"/>
  <c r="Q74" i="42"/>
  <c r="H75" i="42"/>
  <c r="I75" i="42"/>
  <c r="J75" i="42"/>
  <c r="K75" i="42"/>
  <c r="L75" i="42"/>
  <c r="M75" i="42"/>
  <c r="N75" i="42"/>
  <c r="O75" i="42"/>
  <c r="P75" i="42"/>
  <c r="Q75" i="42"/>
  <c r="G77" i="42"/>
  <c r="H77" i="42"/>
  <c r="I77" i="42"/>
  <c r="J77" i="42"/>
  <c r="K77" i="42"/>
  <c r="L77" i="42"/>
  <c r="M77" i="42"/>
  <c r="N77" i="42"/>
  <c r="O77" i="42"/>
  <c r="P77" i="42"/>
  <c r="Q77" i="42"/>
  <c r="G79" i="42"/>
  <c r="G80" i="42"/>
  <c r="G81" i="42"/>
  <c r="G82" i="42"/>
  <c r="G83" i="42"/>
  <c r="E94" i="42"/>
  <c r="F52" i="35"/>
  <c r="G52" i="35"/>
  <c r="H52" i="35"/>
  <c r="I52" i="35"/>
  <c r="J52" i="35"/>
  <c r="K52" i="35"/>
  <c r="L52" i="35"/>
  <c r="M52" i="35"/>
  <c r="N52" i="35"/>
  <c r="O52" i="35"/>
  <c r="P52" i="35"/>
  <c r="Q52" i="35"/>
  <c r="R52" i="35"/>
  <c r="S52" i="35"/>
  <c r="T52" i="35"/>
  <c r="U52" i="35"/>
  <c r="V52" i="35"/>
  <c r="W52" i="35"/>
  <c r="X52" i="35"/>
  <c r="Y52" i="35"/>
  <c r="Z52" i="35"/>
  <c r="AA52" i="35"/>
  <c r="AB52" i="35"/>
  <c r="AC52" i="35"/>
  <c r="AD52" i="35"/>
  <c r="AE52" i="35"/>
  <c r="AF52" i="35"/>
  <c r="AG52" i="35"/>
  <c r="AH52" i="35"/>
  <c r="AI52" i="35"/>
  <c r="AJ52" i="35"/>
  <c r="D53" i="35"/>
  <c r="F53" i="35"/>
  <c r="G53" i="35"/>
  <c r="H53" i="35"/>
  <c r="I53" i="35"/>
  <c r="J53" i="35"/>
  <c r="K53" i="35"/>
  <c r="L53" i="35"/>
  <c r="M53" i="35"/>
  <c r="N53" i="35"/>
  <c r="O53" i="35"/>
  <c r="P53" i="35"/>
  <c r="Q53" i="35"/>
  <c r="R53" i="35"/>
  <c r="S53" i="35"/>
  <c r="T53" i="35"/>
  <c r="U53" i="35"/>
  <c r="V53" i="35"/>
  <c r="W53" i="35"/>
  <c r="X53" i="35"/>
  <c r="Y53" i="35"/>
  <c r="Z53" i="35"/>
  <c r="AA53" i="35"/>
  <c r="AB53" i="35"/>
  <c r="AC53" i="35"/>
  <c r="AD53" i="35"/>
  <c r="AE53" i="35"/>
  <c r="AF53" i="35"/>
  <c r="AG53" i="35"/>
  <c r="AH53" i="35"/>
  <c r="AI53" i="35"/>
  <c r="AJ53" i="35"/>
  <c r="F54" i="35"/>
  <c r="G54" i="35"/>
  <c r="H54" i="35"/>
  <c r="I54" i="35"/>
  <c r="J54" i="35"/>
  <c r="K54" i="35"/>
  <c r="L54" i="35"/>
  <c r="M54" i="35"/>
  <c r="N54" i="35"/>
  <c r="O54" i="35"/>
  <c r="P54" i="35"/>
  <c r="Q54" i="35"/>
  <c r="R54" i="35"/>
  <c r="S54" i="35"/>
  <c r="T54" i="35"/>
  <c r="U54" i="35"/>
  <c r="V54" i="35"/>
  <c r="W54" i="35"/>
  <c r="X54" i="35"/>
  <c r="Y54" i="35"/>
  <c r="Z54" i="35"/>
  <c r="AA54" i="35"/>
  <c r="AB54" i="35"/>
  <c r="AC54" i="35"/>
  <c r="AD54" i="35"/>
  <c r="AE54" i="35"/>
  <c r="AF54" i="35"/>
  <c r="AG54" i="35"/>
  <c r="AH54" i="35"/>
  <c r="AI54" i="35"/>
  <c r="AJ54" i="35"/>
  <c r="F56" i="35"/>
  <c r="G56" i="35"/>
  <c r="H56" i="35"/>
  <c r="I56" i="35"/>
  <c r="J56" i="35"/>
  <c r="K56" i="35"/>
  <c r="L56" i="35"/>
  <c r="M56" i="35"/>
  <c r="N56" i="35"/>
  <c r="O56" i="35"/>
  <c r="P56" i="35"/>
  <c r="Q56" i="35"/>
  <c r="R56" i="35"/>
  <c r="S56" i="35"/>
  <c r="T56" i="35"/>
  <c r="U56" i="35"/>
  <c r="V56" i="35"/>
  <c r="W56" i="35"/>
  <c r="X56" i="35"/>
  <c r="Y56" i="35"/>
  <c r="Z56" i="35"/>
  <c r="AA56" i="35"/>
  <c r="AB56" i="35"/>
  <c r="AC56" i="35"/>
  <c r="AD56" i="35"/>
  <c r="AE56" i="35"/>
  <c r="AF56" i="35"/>
  <c r="AG56" i="35"/>
  <c r="AH56" i="35"/>
  <c r="AI56" i="35"/>
  <c r="AJ56" i="35"/>
  <c r="G59" i="35"/>
  <c r="H59" i="35"/>
  <c r="I59" i="35"/>
  <c r="J59" i="35"/>
  <c r="K59" i="35"/>
  <c r="L59" i="35"/>
  <c r="M59" i="35"/>
  <c r="N59" i="35"/>
  <c r="O59" i="35"/>
  <c r="P59" i="35"/>
  <c r="Q59" i="35"/>
  <c r="R59" i="35"/>
  <c r="S59" i="35"/>
  <c r="T59" i="35"/>
  <c r="U59" i="35"/>
  <c r="V59" i="35"/>
  <c r="W59" i="35"/>
  <c r="X59" i="35"/>
  <c r="Y59" i="35"/>
  <c r="Z59" i="35"/>
  <c r="AA59" i="35"/>
  <c r="AB59" i="35"/>
  <c r="AC59" i="35"/>
  <c r="AD59" i="35"/>
  <c r="AE59" i="35"/>
  <c r="AF59" i="35"/>
  <c r="AG59" i="35"/>
  <c r="AH59" i="35"/>
  <c r="AI59" i="35"/>
  <c r="AJ59" i="35"/>
  <c r="D60" i="35"/>
  <c r="H60" i="35"/>
  <c r="D61" i="35"/>
  <c r="F61" i="35"/>
  <c r="G61" i="35"/>
  <c r="H61" i="35"/>
  <c r="I61" i="35"/>
  <c r="J61" i="35"/>
  <c r="K61" i="35"/>
  <c r="L61" i="35"/>
  <c r="M61" i="35"/>
  <c r="N61" i="35"/>
  <c r="O61" i="35"/>
  <c r="P61" i="35"/>
  <c r="Q61" i="35"/>
  <c r="R61" i="35"/>
  <c r="S61" i="35"/>
  <c r="T61" i="35"/>
  <c r="U61" i="35"/>
  <c r="V61" i="35"/>
  <c r="W61" i="35"/>
  <c r="X61" i="35"/>
  <c r="Y61" i="35"/>
  <c r="Z61" i="35"/>
  <c r="AA61" i="35"/>
  <c r="AB61" i="35"/>
  <c r="AC61" i="35"/>
  <c r="AD61" i="35"/>
  <c r="AE61" i="35"/>
  <c r="AF61" i="35"/>
  <c r="AG61" i="35"/>
  <c r="AH61" i="35"/>
  <c r="AI61" i="35"/>
  <c r="AJ61" i="35"/>
  <c r="D62" i="35"/>
  <c r="G62" i="35"/>
  <c r="H62" i="35"/>
  <c r="I62" i="35"/>
  <c r="J62" i="35"/>
  <c r="K62" i="35"/>
  <c r="L62" i="35"/>
  <c r="M62" i="35"/>
  <c r="N62" i="35"/>
  <c r="O62" i="35"/>
  <c r="P62" i="35"/>
  <c r="Q62" i="35"/>
  <c r="R62" i="35"/>
  <c r="S62" i="35"/>
  <c r="T62" i="35"/>
  <c r="U62" i="35"/>
  <c r="V62" i="35"/>
  <c r="W62" i="35"/>
  <c r="X62" i="35"/>
  <c r="Y62" i="35"/>
  <c r="Z62" i="35"/>
  <c r="AA62" i="35"/>
  <c r="AB62" i="35"/>
  <c r="AC62" i="35"/>
  <c r="AD62" i="35"/>
  <c r="AE62" i="35"/>
  <c r="AF62" i="35"/>
  <c r="AG62" i="35"/>
  <c r="AH62" i="35"/>
  <c r="AI62" i="35"/>
  <c r="AJ62" i="35"/>
  <c r="K63" i="35"/>
  <c r="F64" i="35"/>
  <c r="G64" i="35"/>
  <c r="H64" i="35"/>
  <c r="I64" i="35"/>
  <c r="J64" i="35"/>
  <c r="K64" i="35"/>
  <c r="L64" i="35"/>
  <c r="M64" i="35"/>
  <c r="N64" i="35"/>
  <c r="O64" i="35"/>
  <c r="P64" i="35"/>
  <c r="Q64" i="35"/>
  <c r="R64" i="35"/>
  <c r="S64" i="35"/>
  <c r="T64" i="35"/>
  <c r="U64" i="35"/>
  <c r="V64" i="35"/>
  <c r="W64" i="35"/>
  <c r="X64" i="35"/>
  <c r="Y64" i="35"/>
  <c r="Z64" i="35"/>
  <c r="AA64" i="35"/>
  <c r="AB64" i="35"/>
  <c r="AC64" i="35"/>
  <c r="AD64" i="35"/>
  <c r="AE64" i="35"/>
  <c r="AF64" i="35"/>
  <c r="AG64" i="35"/>
  <c r="AH64" i="35"/>
  <c r="AI64" i="35"/>
  <c r="AJ64" i="35"/>
  <c r="F66" i="35"/>
  <c r="G66" i="35"/>
  <c r="H66" i="35"/>
  <c r="I66" i="35"/>
  <c r="J66" i="35"/>
  <c r="K66" i="35"/>
  <c r="L66" i="35"/>
  <c r="M66" i="35"/>
  <c r="N66" i="35"/>
  <c r="O66" i="35"/>
  <c r="P66" i="35"/>
  <c r="Q66" i="35"/>
  <c r="R66" i="35"/>
  <c r="S66" i="35"/>
  <c r="T66" i="35"/>
  <c r="U66" i="35"/>
  <c r="V66" i="35"/>
  <c r="W66" i="35"/>
  <c r="X66" i="35"/>
  <c r="Y66" i="35"/>
  <c r="Z66" i="35"/>
  <c r="AA66" i="35"/>
  <c r="AB66" i="35"/>
  <c r="AC66" i="35"/>
  <c r="AD66" i="35"/>
  <c r="AE66" i="35"/>
  <c r="AF66" i="35"/>
  <c r="AG66" i="35"/>
  <c r="AH66" i="35"/>
  <c r="AI66" i="35"/>
  <c r="AJ66" i="35"/>
  <c r="D76" i="35"/>
  <c r="F76" i="35"/>
  <c r="G76" i="35"/>
  <c r="H76" i="35"/>
  <c r="I76" i="35"/>
  <c r="J76" i="35"/>
  <c r="K76" i="35"/>
  <c r="L76" i="35"/>
  <c r="M76" i="35"/>
  <c r="N76" i="35"/>
  <c r="O76" i="35"/>
  <c r="P76" i="35"/>
  <c r="Q76" i="35"/>
  <c r="D77" i="35"/>
  <c r="D78" i="35"/>
  <c r="I14" i="29"/>
  <c r="I15" i="29"/>
  <c r="I16" i="29"/>
  <c r="I17" i="29"/>
  <c r="I18" i="29"/>
  <c r="H19" i="29"/>
  <c r="I19" i="29"/>
  <c r="J19" i="29"/>
  <c r="H20" i="29"/>
  <c r="I20" i="29"/>
  <c r="J20" i="29"/>
  <c r="H21" i="29"/>
  <c r="I21" i="29"/>
  <c r="H24" i="29"/>
  <c r="I24" i="29"/>
  <c r="H25" i="29"/>
  <c r="I25" i="29"/>
  <c r="H26" i="29"/>
  <c r="I26" i="29"/>
  <c r="I27" i="29"/>
  <c r="I28" i="29"/>
  <c r="H29" i="29"/>
  <c r="I29" i="29"/>
  <c r="L29" i="29"/>
  <c r="H30" i="29"/>
  <c r="I30" i="29"/>
  <c r="J37" i="29"/>
  <c r="R12" i="50"/>
  <c r="U13" i="50"/>
  <c r="R15" i="50"/>
  <c r="U16" i="50"/>
  <c r="U18" i="50"/>
  <c r="U19" i="50"/>
  <c r="U20" i="50"/>
  <c r="U22" i="50"/>
  <c r="G23" i="50"/>
  <c r="Q23" i="50"/>
  <c r="R23" i="50"/>
  <c r="Q24" i="50"/>
  <c r="R24" i="50"/>
  <c r="Q25" i="50"/>
  <c r="R25" i="50"/>
  <c r="R26" i="50"/>
  <c r="R29" i="50"/>
  <c r="R31" i="50"/>
  <c r="G42" i="50"/>
  <c r="G61" i="50"/>
  <c r="F63" i="50"/>
  <c r="F65" i="50"/>
  <c r="F66" i="50"/>
  <c r="F67" i="50"/>
  <c r="G69" i="50"/>
  <c r="Q70" i="50"/>
  <c r="H71" i="50"/>
  <c r="I71" i="50"/>
  <c r="J71" i="50"/>
  <c r="K71" i="50"/>
  <c r="L71" i="50"/>
  <c r="M71" i="50"/>
  <c r="N71" i="50"/>
  <c r="O71" i="50"/>
  <c r="P71" i="50"/>
  <c r="Q71" i="50"/>
  <c r="G73" i="50"/>
  <c r="H73" i="50"/>
  <c r="I73" i="50"/>
  <c r="J73" i="50"/>
  <c r="K73" i="50"/>
  <c r="L73" i="50"/>
  <c r="M73" i="50"/>
  <c r="N73" i="50"/>
  <c r="O73" i="50"/>
  <c r="P73" i="50"/>
  <c r="Q73" i="50"/>
  <c r="F75" i="50"/>
  <c r="F76" i="50"/>
  <c r="F77" i="50"/>
  <c r="F78" i="50"/>
  <c r="F79" i="50"/>
  <c r="H82" i="50"/>
  <c r="I82" i="50"/>
  <c r="J82" i="50"/>
  <c r="K82" i="50"/>
  <c r="L82" i="50"/>
  <c r="M82" i="50"/>
  <c r="N82" i="50"/>
  <c r="O82" i="50"/>
  <c r="P82" i="50"/>
  <c r="Q82" i="50"/>
  <c r="R82" i="50"/>
  <c r="S82" i="50"/>
  <c r="T82" i="50"/>
  <c r="U82" i="50"/>
  <c r="V82" i="50"/>
  <c r="W82" i="50"/>
  <c r="X82" i="50"/>
  <c r="Y82" i="50"/>
  <c r="Z82" i="50"/>
  <c r="AA82" i="50"/>
  <c r="AB82" i="50"/>
  <c r="AC82" i="50"/>
  <c r="AD82" i="50"/>
  <c r="AE82" i="50"/>
  <c r="AF82" i="50"/>
  <c r="AG82" i="50"/>
  <c r="AH82" i="50"/>
  <c r="AI82" i="50"/>
  <c r="AJ82" i="50"/>
  <c r="AK82" i="50"/>
  <c r="H83" i="50"/>
  <c r="I83" i="50"/>
  <c r="J83" i="50"/>
  <c r="K83" i="50"/>
  <c r="L83" i="50"/>
  <c r="M83" i="50"/>
  <c r="N83" i="50"/>
  <c r="O83" i="50"/>
  <c r="P83" i="50"/>
  <c r="Q83" i="50"/>
  <c r="R83" i="50"/>
  <c r="S83" i="50"/>
  <c r="T83" i="50"/>
  <c r="U83" i="50"/>
  <c r="V83" i="50"/>
  <c r="W83" i="50"/>
  <c r="X83" i="50"/>
  <c r="Y83" i="50"/>
  <c r="Z83" i="50"/>
  <c r="AA83" i="50"/>
  <c r="AB83" i="50"/>
  <c r="AC83" i="50"/>
  <c r="AD83" i="50"/>
  <c r="AE83" i="50"/>
  <c r="AF83" i="50"/>
  <c r="AG83" i="50"/>
  <c r="AH83" i="50"/>
  <c r="AI83" i="50"/>
  <c r="AJ83" i="50"/>
  <c r="AK83" i="50"/>
  <c r="H84" i="50"/>
  <c r="I84" i="50"/>
  <c r="J84" i="50"/>
  <c r="K84" i="50"/>
  <c r="L84" i="50"/>
  <c r="M84" i="50"/>
  <c r="N84" i="50"/>
  <c r="O84" i="50"/>
  <c r="P84" i="50"/>
  <c r="Q84" i="50"/>
  <c r="R84" i="50"/>
  <c r="S84" i="50"/>
  <c r="T84" i="50"/>
  <c r="U84" i="50"/>
  <c r="V84" i="50"/>
  <c r="W84" i="50"/>
  <c r="X84" i="50"/>
  <c r="Y84" i="50"/>
  <c r="Z84" i="50"/>
  <c r="AA84" i="50"/>
  <c r="AB84" i="50"/>
  <c r="AC84" i="50"/>
  <c r="AD84" i="50"/>
  <c r="AE84" i="50"/>
  <c r="AF84" i="50"/>
  <c r="AG84" i="50"/>
  <c r="AH84" i="50"/>
  <c r="AI84" i="50"/>
  <c r="AJ84" i="50"/>
  <c r="AK84" i="50"/>
  <c r="H85" i="50"/>
  <c r="I85" i="50"/>
  <c r="J85" i="50"/>
  <c r="K85" i="50"/>
  <c r="L85" i="50"/>
  <c r="M85" i="50"/>
  <c r="N85" i="50"/>
  <c r="O85" i="50"/>
  <c r="P85" i="50"/>
  <c r="Q85" i="50"/>
  <c r="H86" i="50"/>
  <c r="I86" i="50"/>
  <c r="J86" i="50"/>
  <c r="K86" i="50"/>
  <c r="L86" i="50"/>
  <c r="M86" i="50"/>
  <c r="N86" i="50"/>
  <c r="O86" i="50"/>
  <c r="P86" i="50"/>
  <c r="Q86" i="50"/>
  <c r="H87" i="50"/>
  <c r="I87" i="50"/>
  <c r="J87" i="50"/>
  <c r="K87" i="50"/>
  <c r="L87" i="50"/>
  <c r="M87" i="50"/>
  <c r="N87" i="50"/>
  <c r="O87" i="50"/>
  <c r="P87" i="50"/>
  <c r="Q87" i="50"/>
  <c r="R87" i="50"/>
  <c r="S87" i="50"/>
  <c r="T87" i="50"/>
  <c r="U87" i="50"/>
  <c r="V87" i="50"/>
  <c r="W87" i="50"/>
  <c r="X87" i="50"/>
  <c r="Y87" i="50"/>
  <c r="Z87" i="50"/>
  <c r="AA87" i="50"/>
  <c r="AB87" i="50"/>
  <c r="AC87" i="50"/>
  <c r="AD87" i="50"/>
  <c r="AE87" i="50"/>
  <c r="AF87" i="50"/>
  <c r="AG87" i="50"/>
  <c r="AH87" i="50"/>
  <c r="AI87" i="50"/>
  <c r="AJ87" i="50"/>
  <c r="AK87" i="50"/>
  <c r="R12" i="46"/>
  <c r="R13" i="46"/>
  <c r="R14" i="46"/>
  <c r="R17" i="46"/>
  <c r="R18" i="46"/>
  <c r="R19" i="46"/>
  <c r="G32" i="46"/>
  <c r="G33" i="46"/>
  <c r="G38" i="46"/>
  <c r="G59" i="46"/>
  <c r="G63" i="46"/>
  <c r="G65" i="46"/>
  <c r="G67" i="46"/>
  <c r="G68" i="46"/>
  <c r="G69" i="46"/>
  <c r="G71" i="46"/>
  <c r="Q72" i="46"/>
  <c r="H73" i="46"/>
  <c r="I73" i="46"/>
  <c r="J73" i="46"/>
  <c r="K73" i="46"/>
  <c r="L73" i="46"/>
  <c r="M73" i="46"/>
  <c r="N73" i="46"/>
  <c r="O73" i="46"/>
  <c r="P73" i="46"/>
  <c r="Q73" i="46"/>
  <c r="G75" i="46"/>
  <c r="H75" i="46"/>
  <c r="I75" i="46"/>
  <c r="J75" i="46"/>
  <c r="K75" i="46"/>
  <c r="L75" i="46"/>
  <c r="M75" i="46"/>
  <c r="N75" i="46"/>
  <c r="O75" i="46"/>
  <c r="P75" i="46"/>
  <c r="Q75" i="46"/>
  <c r="G77" i="46"/>
  <c r="G78" i="46"/>
  <c r="G79" i="46"/>
  <c r="G80" i="46"/>
  <c r="G81" i="46"/>
  <c r="E92" i="46"/>
  <c r="L12" i="47"/>
  <c r="L13" i="47"/>
  <c r="L14" i="47"/>
  <c r="L17" i="47"/>
  <c r="L18" i="47"/>
  <c r="L19" i="47"/>
  <c r="G32" i="47"/>
  <c r="G33" i="47"/>
  <c r="G36" i="47"/>
  <c r="G67" i="47"/>
  <c r="G71" i="47"/>
  <c r="G73" i="47"/>
  <c r="G75" i="47"/>
  <c r="G76" i="47"/>
  <c r="G77" i="47"/>
  <c r="G79" i="47"/>
  <c r="Q80" i="47"/>
  <c r="H81" i="47"/>
  <c r="I81" i="47"/>
  <c r="J81" i="47"/>
  <c r="K81" i="47"/>
  <c r="L81" i="47"/>
  <c r="M81" i="47"/>
  <c r="N81" i="47"/>
  <c r="O81" i="47"/>
  <c r="P81" i="47"/>
  <c r="Q81" i="47"/>
  <c r="G83" i="47"/>
  <c r="H83" i="47"/>
  <c r="I83" i="47"/>
  <c r="J83" i="47"/>
  <c r="K83" i="47"/>
  <c r="L83" i="47"/>
  <c r="M83" i="47"/>
  <c r="N83" i="47"/>
  <c r="O83" i="47"/>
  <c r="P83" i="47"/>
  <c r="Q83" i="47"/>
  <c r="G85" i="47"/>
  <c r="G86" i="47"/>
  <c r="G87" i="47"/>
  <c r="G88" i="47"/>
  <c r="G89" i="47"/>
  <c r="E93" i="47"/>
  <c r="R12" i="45"/>
  <c r="R15" i="45"/>
  <c r="Q23" i="45"/>
  <c r="R23" i="45"/>
  <c r="Q24" i="45"/>
  <c r="R24" i="45"/>
  <c r="R25" i="45"/>
  <c r="G27" i="45"/>
  <c r="R28" i="45"/>
  <c r="R30" i="45"/>
  <c r="G42" i="45"/>
  <c r="G62" i="45"/>
  <c r="F64" i="45"/>
  <c r="F66" i="45"/>
  <c r="F67" i="45"/>
  <c r="F68" i="45"/>
  <c r="G70" i="45"/>
  <c r="Q71" i="45"/>
  <c r="H72" i="45"/>
  <c r="I72" i="45"/>
  <c r="J72" i="45"/>
  <c r="K72" i="45"/>
  <c r="L72" i="45"/>
  <c r="M72" i="45"/>
  <c r="N72" i="45"/>
  <c r="O72" i="45"/>
  <c r="P72" i="45"/>
  <c r="Q72" i="45"/>
  <c r="G74" i="45"/>
  <c r="H74" i="45"/>
  <c r="I74" i="45"/>
  <c r="J74" i="45"/>
  <c r="K74" i="45"/>
  <c r="L74" i="45"/>
  <c r="M74" i="45"/>
  <c r="N74" i="45"/>
  <c r="O74" i="45"/>
  <c r="P74" i="45"/>
  <c r="Q74" i="45"/>
  <c r="F76" i="45"/>
  <c r="F77" i="45"/>
  <c r="F78" i="45"/>
  <c r="F79" i="45"/>
  <c r="F80" i="45"/>
  <c r="H83" i="45"/>
  <c r="I83" i="45"/>
  <c r="J83" i="45"/>
  <c r="K83" i="45"/>
  <c r="L83" i="45"/>
  <c r="M83" i="45"/>
  <c r="N83" i="45"/>
  <c r="O83" i="45"/>
  <c r="P83" i="45"/>
  <c r="Q83" i="45"/>
  <c r="R83" i="45"/>
  <c r="S83" i="45"/>
  <c r="T83" i="45"/>
  <c r="U83" i="45"/>
  <c r="V83" i="45"/>
  <c r="W83" i="45"/>
  <c r="X83" i="45"/>
  <c r="Y83" i="45"/>
  <c r="Z83" i="45"/>
  <c r="AA83" i="45"/>
  <c r="AB83" i="45"/>
  <c r="AC83" i="45"/>
  <c r="AD83" i="45"/>
  <c r="AE83" i="45"/>
  <c r="AF83" i="45"/>
  <c r="AG83" i="45"/>
  <c r="AH83" i="45"/>
  <c r="AI83" i="45"/>
  <c r="AJ83" i="45"/>
  <c r="AK83" i="45"/>
  <c r="H84" i="45"/>
  <c r="I84" i="45"/>
  <c r="J84" i="45"/>
  <c r="K84" i="45"/>
  <c r="L84" i="45"/>
  <c r="M84" i="45"/>
  <c r="N84" i="45"/>
  <c r="O84" i="45"/>
  <c r="P84" i="45"/>
  <c r="Q84" i="45"/>
  <c r="R84" i="45"/>
  <c r="S84" i="45"/>
  <c r="T84" i="45"/>
  <c r="U84" i="45"/>
  <c r="V84" i="45"/>
  <c r="W84" i="45"/>
  <c r="X84" i="45"/>
  <c r="Y84" i="45"/>
  <c r="Z84" i="45"/>
  <c r="AA84" i="45"/>
  <c r="AB84" i="45"/>
  <c r="AC84" i="45"/>
  <c r="AD84" i="45"/>
  <c r="AE84" i="45"/>
  <c r="AF84" i="45"/>
  <c r="AG84" i="45"/>
  <c r="AH84" i="45"/>
  <c r="AI84" i="45"/>
  <c r="AJ84" i="45"/>
  <c r="AK84" i="45"/>
  <c r="H85" i="45"/>
  <c r="I85" i="45"/>
  <c r="J85" i="45"/>
  <c r="K85" i="45"/>
  <c r="L85" i="45"/>
  <c r="M85" i="45"/>
  <c r="N85" i="45"/>
  <c r="O85" i="45"/>
  <c r="P85" i="45"/>
  <c r="Q85" i="45"/>
  <c r="R85" i="45"/>
  <c r="S85" i="45"/>
  <c r="T85" i="45"/>
  <c r="U85" i="45"/>
  <c r="V85" i="45"/>
  <c r="W85" i="45"/>
  <c r="X85" i="45"/>
  <c r="Y85" i="45"/>
  <c r="Z85" i="45"/>
  <c r="AA85" i="45"/>
  <c r="AB85" i="45"/>
  <c r="AC85" i="45"/>
  <c r="AD85" i="45"/>
  <c r="AE85" i="45"/>
  <c r="AF85" i="45"/>
  <c r="AG85" i="45"/>
  <c r="AH85" i="45"/>
  <c r="AI85" i="45"/>
  <c r="AJ85" i="45"/>
  <c r="AK85" i="45"/>
  <c r="H86" i="45"/>
  <c r="I86" i="45"/>
  <c r="J86" i="45"/>
  <c r="K86" i="45"/>
  <c r="L86" i="45"/>
  <c r="M86" i="45"/>
  <c r="N86" i="45"/>
  <c r="O86" i="45"/>
  <c r="P86" i="45"/>
  <c r="Q86" i="45"/>
  <c r="H87" i="45"/>
  <c r="I87" i="45"/>
  <c r="J87" i="45"/>
  <c r="K87" i="45"/>
  <c r="L87" i="45"/>
  <c r="M87" i="45"/>
  <c r="N87" i="45"/>
  <c r="O87" i="45"/>
  <c r="P87" i="45"/>
  <c r="Q87" i="45"/>
  <c r="H88" i="45"/>
  <c r="I88" i="45"/>
  <c r="J88" i="45"/>
  <c r="K88" i="45"/>
  <c r="L88" i="45"/>
  <c r="M88" i="45"/>
  <c r="N88" i="45"/>
  <c r="O88" i="45"/>
  <c r="P88" i="45"/>
  <c r="Q88" i="45"/>
  <c r="R88" i="45"/>
  <c r="S88" i="45"/>
  <c r="T88" i="45"/>
  <c r="U88" i="45"/>
  <c r="V88" i="45"/>
  <c r="W88" i="45"/>
  <c r="X88" i="45"/>
  <c r="Y88" i="45"/>
  <c r="Z88" i="45"/>
  <c r="AA88" i="45"/>
  <c r="AB88" i="45"/>
  <c r="AC88" i="45"/>
  <c r="AD88" i="45"/>
  <c r="AE88" i="45"/>
  <c r="AF88" i="45"/>
  <c r="AG88" i="45"/>
  <c r="AH88" i="45"/>
  <c r="AI88" i="45"/>
  <c r="AJ88" i="45"/>
  <c r="AK88" i="45"/>
  <c r="R12" i="48"/>
  <c r="R13" i="48"/>
  <c r="R14" i="48"/>
  <c r="R17" i="48"/>
  <c r="R18" i="48"/>
  <c r="R19" i="48"/>
  <c r="G34" i="48"/>
  <c r="G35" i="48"/>
  <c r="G40" i="48"/>
  <c r="G61" i="48"/>
  <c r="G65" i="48"/>
  <c r="G67" i="48"/>
  <c r="G69" i="48"/>
  <c r="G70" i="48"/>
  <c r="G71" i="48"/>
  <c r="G73" i="48"/>
  <c r="Q74" i="48"/>
  <c r="H75" i="48"/>
  <c r="I75" i="48"/>
  <c r="J75" i="48"/>
  <c r="K75" i="48"/>
  <c r="L75" i="48"/>
  <c r="M75" i="48"/>
  <c r="N75" i="48"/>
  <c r="O75" i="48"/>
  <c r="P75" i="48"/>
  <c r="Q75" i="48"/>
  <c r="G77" i="48"/>
  <c r="H77" i="48"/>
  <c r="I77" i="48"/>
  <c r="J77" i="48"/>
  <c r="K77" i="48"/>
  <c r="L77" i="48"/>
  <c r="M77" i="48"/>
  <c r="N77" i="48"/>
  <c r="O77" i="48"/>
  <c r="P77" i="48"/>
  <c r="Q77" i="48"/>
  <c r="G79" i="48"/>
  <c r="G80" i="48"/>
  <c r="G81" i="48"/>
  <c r="G82" i="48"/>
  <c r="G83" i="48"/>
  <c r="E94" i="48"/>
  <c r="F51" i="44"/>
  <c r="G51" i="44"/>
  <c r="H51" i="44"/>
  <c r="I51" i="44"/>
  <c r="J51" i="44"/>
  <c r="K51" i="44"/>
  <c r="L51" i="44"/>
  <c r="M51" i="44"/>
  <c r="N51" i="44"/>
  <c r="O51" i="44"/>
  <c r="P51" i="44"/>
  <c r="Q51" i="44"/>
  <c r="R51" i="44"/>
  <c r="S51" i="44"/>
  <c r="T51" i="44"/>
  <c r="U51" i="44"/>
  <c r="V51" i="44"/>
  <c r="W51" i="44"/>
  <c r="X51" i="44"/>
  <c r="Y51" i="44"/>
  <c r="Z51" i="44"/>
  <c r="AA51" i="44"/>
  <c r="AB51" i="44"/>
  <c r="AC51" i="44"/>
  <c r="AD51" i="44"/>
  <c r="AE51" i="44"/>
  <c r="AF51" i="44"/>
  <c r="AG51" i="44"/>
  <c r="AH51" i="44"/>
  <c r="AI51" i="44"/>
  <c r="AJ51" i="44"/>
  <c r="D52" i="44"/>
  <c r="F52" i="44"/>
  <c r="G52" i="44"/>
  <c r="H52" i="44"/>
  <c r="I52" i="44"/>
  <c r="J52" i="44"/>
  <c r="K52" i="44"/>
  <c r="L52" i="44"/>
  <c r="M52" i="44"/>
  <c r="N52" i="44"/>
  <c r="O52" i="44"/>
  <c r="P52" i="44"/>
  <c r="Q52" i="44"/>
  <c r="R52" i="44"/>
  <c r="S52" i="44"/>
  <c r="T52" i="44"/>
  <c r="U52" i="44"/>
  <c r="V52" i="44"/>
  <c r="W52" i="44"/>
  <c r="X52" i="44"/>
  <c r="Y52" i="44"/>
  <c r="Z52" i="44"/>
  <c r="AA52" i="44"/>
  <c r="AB52" i="44"/>
  <c r="AC52" i="44"/>
  <c r="AD52" i="44"/>
  <c r="AE52" i="44"/>
  <c r="AF52" i="44"/>
  <c r="AG52" i="44"/>
  <c r="AH52" i="44"/>
  <c r="AI52" i="44"/>
  <c r="AJ52" i="44"/>
  <c r="F53" i="44"/>
  <c r="G53" i="44"/>
  <c r="H53" i="44"/>
  <c r="I53" i="44"/>
  <c r="J53" i="44"/>
  <c r="K53" i="44"/>
  <c r="L53" i="44"/>
  <c r="M53" i="44"/>
  <c r="N53" i="44"/>
  <c r="O53" i="44"/>
  <c r="P53" i="44"/>
  <c r="Q53" i="44"/>
  <c r="R53" i="44"/>
  <c r="S53" i="44"/>
  <c r="T53" i="44"/>
  <c r="U53" i="44"/>
  <c r="V53" i="44"/>
  <c r="W53" i="44"/>
  <c r="X53" i="44"/>
  <c r="Y53" i="44"/>
  <c r="Z53" i="44"/>
  <c r="AA53" i="44"/>
  <c r="AB53" i="44"/>
  <c r="AC53" i="44"/>
  <c r="AD53" i="44"/>
  <c r="AE53" i="44"/>
  <c r="AF53" i="44"/>
  <c r="AG53" i="44"/>
  <c r="AH53" i="44"/>
  <c r="AI53" i="44"/>
  <c r="AJ53" i="44"/>
  <c r="F55" i="44"/>
  <c r="G55" i="44"/>
  <c r="H55" i="44"/>
  <c r="I55" i="44"/>
  <c r="J55" i="44"/>
  <c r="K55" i="44"/>
  <c r="L55" i="44"/>
  <c r="M55" i="44"/>
  <c r="N55" i="44"/>
  <c r="O55" i="44"/>
  <c r="P55" i="44"/>
  <c r="Q55" i="44"/>
  <c r="R55" i="44"/>
  <c r="S55" i="44"/>
  <c r="T55" i="44"/>
  <c r="U55" i="44"/>
  <c r="V55" i="44"/>
  <c r="W55" i="44"/>
  <c r="X55" i="44"/>
  <c r="Y55" i="44"/>
  <c r="Z55" i="44"/>
  <c r="AA55" i="44"/>
  <c r="AB55" i="44"/>
  <c r="AC55" i="44"/>
  <c r="AD55" i="44"/>
  <c r="AE55" i="44"/>
  <c r="AF55" i="44"/>
  <c r="AG55" i="44"/>
  <c r="AH55" i="44"/>
  <c r="AI55" i="44"/>
  <c r="AJ55" i="44"/>
  <c r="G58" i="44"/>
  <c r="H58" i="44"/>
  <c r="I58" i="44"/>
  <c r="J58" i="44"/>
  <c r="K58" i="44"/>
  <c r="L58" i="44"/>
  <c r="M58" i="44"/>
  <c r="N58" i="44"/>
  <c r="O58" i="44"/>
  <c r="P58" i="44"/>
  <c r="Q58" i="44"/>
  <c r="R58" i="44"/>
  <c r="S58" i="44"/>
  <c r="T58" i="44"/>
  <c r="U58" i="44"/>
  <c r="V58" i="44"/>
  <c r="W58" i="44"/>
  <c r="X58" i="44"/>
  <c r="Y58" i="44"/>
  <c r="Z58" i="44"/>
  <c r="AA58" i="44"/>
  <c r="AB58" i="44"/>
  <c r="AC58" i="44"/>
  <c r="AD58" i="44"/>
  <c r="AE58" i="44"/>
  <c r="AF58" i="44"/>
  <c r="AG58" i="44"/>
  <c r="AH58" i="44"/>
  <c r="AI58" i="44"/>
  <c r="AJ58" i="44"/>
  <c r="D59" i="44"/>
  <c r="K59" i="44"/>
  <c r="D60" i="44"/>
  <c r="F60" i="44"/>
  <c r="G60" i="44"/>
  <c r="H60" i="44"/>
  <c r="I60" i="44"/>
  <c r="J60" i="44"/>
  <c r="K60" i="44"/>
  <c r="L60" i="44"/>
  <c r="M60" i="44"/>
  <c r="N60" i="44"/>
  <c r="O60" i="44"/>
  <c r="P60" i="44"/>
  <c r="Q60" i="44"/>
  <c r="R60" i="44"/>
  <c r="S60" i="44"/>
  <c r="T60" i="44"/>
  <c r="U60" i="44"/>
  <c r="V60" i="44"/>
  <c r="W60" i="44"/>
  <c r="X60" i="44"/>
  <c r="Y60" i="44"/>
  <c r="Z60" i="44"/>
  <c r="AA60" i="44"/>
  <c r="AB60" i="44"/>
  <c r="AC60" i="44"/>
  <c r="AD60" i="44"/>
  <c r="AE60" i="44"/>
  <c r="AF60" i="44"/>
  <c r="AG60" i="44"/>
  <c r="AH60" i="44"/>
  <c r="AI60" i="44"/>
  <c r="AJ60" i="44"/>
  <c r="D61" i="44"/>
  <c r="G61" i="44"/>
  <c r="H61" i="44"/>
  <c r="I61" i="44"/>
  <c r="J61" i="44"/>
  <c r="K61" i="44"/>
  <c r="L61" i="44"/>
  <c r="M61" i="44"/>
  <c r="N61" i="44"/>
  <c r="O61" i="44"/>
  <c r="P61" i="44"/>
  <c r="Q61" i="44"/>
  <c r="R61" i="44"/>
  <c r="S61" i="44"/>
  <c r="T61" i="44"/>
  <c r="U61" i="44"/>
  <c r="V61" i="44"/>
  <c r="W61" i="44"/>
  <c r="X61" i="44"/>
  <c r="Y61" i="44"/>
  <c r="Z61" i="44"/>
  <c r="AA61" i="44"/>
  <c r="AB61" i="44"/>
  <c r="AC61" i="44"/>
  <c r="AD61" i="44"/>
  <c r="AE61" i="44"/>
  <c r="AF61" i="44"/>
  <c r="AG61" i="44"/>
  <c r="AH61" i="44"/>
  <c r="AI61" i="44"/>
  <c r="AJ61" i="44"/>
  <c r="Q62" i="44"/>
  <c r="F63" i="44"/>
  <c r="G63" i="44"/>
  <c r="H63" i="44"/>
  <c r="I63" i="44"/>
  <c r="J63" i="44"/>
  <c r="K63" i="44"/>
  <c r="L63" i="44"/>
  <c r="M63" i="44"/>
  <c r="N63" i="44"/>
  <c r="O63" i="44"/>
  <c r="P63" i="44"/>
  <c r="Q63" i="44"/>
  <c r="R63" i="44"/>
  <c r="S63" i="44"/>
  <c r="T63" i="44"/>
  <c r="U63" i="44"/>
  <c r="V63" i="44"/>
  <c r="W63" i="44"/>
  <c r="X63" i="44"/>
  <c r="Y63" i="44"/>
  <c r="Z63" i="44"/>
  <c r="AA63" i="44"/>
  <c r="AB63" i="44"/>
  <c r="AC63" i="44"/>
  <c r="AD63" i="44"/>
  <c r="AE63" i="44"/>
  <c r="AF63" i="44"/>
  <c r="AG63" i="44"/>
  <c r="AH63" i="44"/>
  <c r="AI63" i="44"/>
  <c r="AJ63" i="44"/>
  <c r="F65" i="44"/>
  <c r="G65" i="44"/>
  <c r="H65" i="44"/>
  <c r="I65" i="44"/>
  <c r="J65" i="44"/>
  <c r="K65" i="44"/>
  <c r="L65" i="44"/>
  <c r="M65" i="44"/>
  <c r="N65" i="44"/>
  <c r="O65" i="44"/>
  <c r="P65" i="44"/>
  <c r="Q65" i="44"/>
  <c r="R65" i="44"/>
  <c r="S65" i="44"/>
  <c r="T65" i="44"/>
  <c r="U65" i="44"/>
  <c r="V65" i="44"/>
  <c r="W65" i="44"/>
  <c r="X65" i="44"/>
  <c r="Y65" i="44"/>
  <c r="Z65" i="44"/>
  <c r="AA65" i="44"/>
  <c r="AB65" i="44"/>
  <c r="AC65" i="44"/>
  <c r="AD65" i="44"/>
  <c r="AE65" i="44"/>
  <c r="AF65" i="44"/>
  <c r="AG65" i="44"/>
  <c r="AH65" i="44"/>
  <c r="AI65" i="44"/>
  <c r="AJ65" i="44"/>
  <c r="D75" i="44"/>
  <c r="F75" i="44"/>
  <c r="G75" i="44"/>
  <c r="H75" i="44"/>
  <c r="I75" i="44"/>
  <c r="J75" i="44"/>
  <c r="K75" i="44"/>
  <c r="L75" i="44"/>
  <c r="M75" i="44"/>
  <c r="N75" i="44"/>
  <c r="O75" i="44"/>
  <c r="P75" i="44"/>
  <c r="Q75" i="44"/>
  <c r="R75" i="44"/>
  <c r="S75" i="44"/>
  <c r="T75" i="44"/>
  <c r="U75" i="44"/>
  <c r="V75" i="44"/>
  <c r="W75" i="44"/>
  <c r="X75" i="44"/>
  <c r="Y75" i="44"/>
  <c r="Z75" i="44"/>
  <c r="AA75" i="44"/>
  <c r="D76" i="44"/>
  <c r="D77" i="44"/>
  <c r="I14" i="43"/>
  <c r="I15" i="43"/>
  <c r="I16" i="43"/>
  <c r="I17" i="43"/>
  <c r="I18" i="43"/>
  <c r="H19" i="43"/>
  <c r="I19" i="43"/>
  <c r="J19" i="43"/>
  <c r="H20" i="43"/>
  <c r="I20" i="43"/>
  <c r="J20" i="43"/>
  <c r="H21" i="43"/>
  <c r="I21" i="43"/>
  <c r="H24" i="43"/>
  <c r="I24" i="43"/>
  <c r="H25" i="43"/>
  <c r="I25" i="43"/>
  <c r="I26" i="43"/>
  <c r="I27" i="43"/>
  <c r="H28" i="43"/>
  <c r="I28" i="43"/>
  <c r="L28" i="43"/>
  <c r="H29" i="43"/>
  <c r="I29" i="43"/>
  <c r="J36" i="43"/>
</calcChain>
</file>

<file path=xl/sharedStrings.xml><?xml version="1.0" encoding="utf-8"?>
<sst xmlns="http://schemas.openxmlformats.org/spreadsheetml/2006/main" count="3490" uniqueCount="895">
  <si>
    <t xml:space="preserve">Net Operating Income </t>
  </si>
  <si>
    <t>Total Net Operating Income</t>
  </si>
  <si>
    <t>Development Costs</t>
  </si>
  <si>
    <t>Total Development Costs</t>
  </si>
  <si>
    <t>Annual Cash Flow</t>
  </si>
  <si>
    <t>Net Operating Income</t>
  </si>
  <si>
    <t>Net Cash Flow</t>
  </si>
  <si>
    <t>Project Buildout by Development Units</t>
  </si>
  <si>
    <t>Inflation Factor</t>
  </si>
  <si>
    <t>Infrastructure Costs</t>
  </si>
  <si>
    <t>Total Revenues</t>
  </si>
  <si>
    <t>Expenses</t>
  </si>
  <si>
    <t>Net Present Value</t>
  </si>
  <si>
    <t>Total Costs of Sale</t>
  </si>
  <si>
    <t>Total Buildout</t>
  </si>
  <si>
    <t>(s.f.)</t>
  </si>
  <si>
    <t>Total</t>
  </si>
  <si>
    <t>($ per space)</t>
  </si>
  <si>
    <t>Total Infrastructure Costs</t>
  </si>
  <si>
    <t>Percent of Total</t>
  </si>
  <si>
    <t>Phase I</t>
  </si>
  <si>
    <t>Average Unit Size</t>
  </si>
  <si>
    <t>1. Summary Pro Forma</t>
  </si>
  <si>
    <t>2. Multiyear Development Program</t>
  </si>
  <si>
    <t>Office/Commercial</t>
  </si>
  <si>
    <t>Retail</t>
  </si>
  <si>
    <t>Hotel</t>
  </si>
  <si>
    <t>Structured Parking</t>
  </si>
  <si>
    <t>Equity</t>
  </si>
  <si>
    <t>Loan to Value Ratio (LVR)</t>
  </si>
  <si>
    <t>3. Unit Development and Infrastructure Costs</t>
  </si>
  <si>
    <t>4. Equity and Financing Sources</t>
  </si>
  <si>
    <t>Amount</t>
  </si>
  <si>
    <t>Equity Sources (total)</t>
  </si>
  <si>
    <t>Financing Sources (total)</t>
  </si>
  <si>
    <t>Leveraged IRR Before Taxes</t>
  </si>
  <si>
    <t>Utilities</t>
  </si>
  <si>
    <t>Public</t>
  </si>
  <si>
    <t>Total Infrastructure</t>
  </si>
  <si>
    <t>Private</t>
  </si>
  <si>
    <t xml:space="preserve">Total Asset Value </t>
  </si>
  <si>
    <t>Unleveraged IRR Before Taxes</t>
  </si>
  <si>
    <t>Current Site Value (start of Year 0)</t>
  </si>
  <si>
    <t>Projected Site Value (end of Year 10)</t>
  </si>
  <si>
    <t>Retail (ALL)</t>
  </si>
  <si>
    <t>Market-rate Retail</t>
  </si>
  <si>
    <t>Land Acquisition</t>
  </si>
  <si>
    <t>Income from Sales Proceeds</t>
  </si>
  <si>
    <t>Total Income</t>
  </si>
  <si>
    <t>Demolition</t>
  </si>
  <si>
    <t>Development Fees</t>
  </si>
  <si>
    <t>Leveraged Net Cash Flow</t>
  </si>
  <si>
    <t>Acquisition Taxes and Fees</t>
  </si>
  <si>
    <t>Wynwood or Edgewater</t>
  </si>
  <si>
    <t># on Map</t>
  </si>
  <si>
    <t>Required</t>
  </si>
  <si>
    <t>Folio</t>
  </si>
  <si>
    <t>Sub-Division</t>
  </si>
  <si>
    <t>Property Address</t>
  </si>
  <si>
    <t>Owner Name 1</t>
  </si>
  <si>
    <t>Owner Name 2</t>
  </si>
  <si>
    <t>PA Primary Zone</t>
  </si>
  <si>
    <t>Primary Land Use</t>
  </si>
  <si>
    <t>Lot Size #</t>
  </si>
  <si>
    <t>Lot Size</t>
  </si>
  <si>
    <t xml:space="preserve">2019 Land Value	</t>
  </si>
  <si>
    <t>2019 Building Value</t>
  </si>
  <si>
    <t>Extra Feature Value</t>
  </si>
  <si>
    <t>2019 Market Value</t>
  </si>
  <si>
    <t>Muni Zone</t>
  </si>
  <si>
    <t xml:space="preserve">
Community Development District</t>
  </si>
  <si>
    <t>Community Redevelopment Area</t>
  </si>
  <si>
    <t>Empowerment Zone</t>
  </si>
  <si>
    <t>Enterprise Zone</t>
  </si>
  <si>
    <t>Urban Development</t>
  </si>
  <si>
    <t>Zoning Code</t>
  </si>
  <si>
    <t>Existing Land Use</t>
  </si>
  <si>
    <t>Edgewater</t>
  </si>
  <si>
    <t>No</t>
  </si>
  <si>
    <t>01-3125-004-0300</t>
  </si>
  <si>
    <t>WESTERN BLVD TR</t>
  </si>
  <si>
    <t>154 NE 29 ST; 160 NE 29 ST; 166 NE 29 ST; 172 NE 29 ST; 178 NE 29 ST; 2816 NE 2 AVE; 2830 NE 2 AVE; 180 NE 29 ST</t>
  </si>
  <si>
    <t>MIAMI MIDTOWN 29 LLC C/O THE MORGAN GROUP INC</t>
  </si>
  <si>
    <t>6110 COMM/RESIDENTIAL-DESIGN D</t>
  </si>
  <si>
    <t>0303 MULTIFAMILY 10 UNITS PLUS : MULTIFAMILY 3 OR MORE UNITS</t>
  </si>
  <si>
    <t>74,326 Sq.Ft</t>
  </si>
  <si>
    <t>T6-8-O; T6-12-O</t>
  </si>
  <si>
    <t>NONE</t>
  </si>
  <si>
    <t>NORTH CENTRAL</t>
  </si>
  <si>
    <t>CENTRAL</t>
  </si>
  <si>
    <t>INSIDE URBAN DEVELOPMENT BOUNDARY</t>
  </si>
  <si>
    <t>T6-12-O -</t>
  </si>
  <si>
    <t>35 - MULTI-FAMILY, HIGH DENSITY (OVER 25 DU/GROSS ACRE)</t>
  </si>
  <si>
    <t>01-3125-004-0021</t>
  </si>
  <si>
    <t>186 NE 29 ST</t>
  </si>
  <si>
    <t>LUCIA PLA</t>
  </si>
  <si>
    <t>1209 MIXED USE-STORE/RESIDENTIAL : MIXED USE - RESIDENTIAL</t>
  </si>
  <si>
    <t>5,600 Sq.Ft</t>
  </si>
  <si>
    <t>T6-12-O</t>
  </si>
  <si>
    <t>110 - SALES AND SERVICES (WHOLESALE FACILITIES, SPOT COMMERCIAL, STRIP COMMERCIAL, NEIGHBORHOOD SHOPPING CENTERS/PLAZAS). EXCLUDES OFFICE FACILITIES</t>
  </si>
  <si>
    <t>01-3125-005-0010</t>
  </si>
  <si>
    <t>FLAGLER PARK</t>
  </si>
  <si>
    <t>2800 NE 2 AVE</t>
  </si>
  <si>
    <t>JJK 2800 NE 2ND LLC</t>
  </si>
  <si>
    <t>KB 2800 NE 2ND LLC</t>
  </si>
  <si>
    <t>1111 STORE : RETAIL OUTLET</t>
  </si>
  <si>
    <t>10,500 Sq.Ft</t>
  </si>
  <si>
    <t>Yes</t>
  </si>
  <si>
    <t>01-3125-006-0080</t>
  </si>
  <si>
    <t>HALCYON HGTS</t>
  </si>
  <si>
    <t>127 NE 27 ST</t>
  </si>
  <si>
    <t>MILLER MACHINERY &amp; SUPPLY CO</t>
  </si>
  <si>
    <t>6100 COMMERCIAL - NEIGHBORHOOD</t>
  </si>
  <si>
    <t>4837 WAREHOUSE TERMINAL OR STG : WAREHOUSE OR STORAGE</t>
  </si>
  <si>
    <t>36,753 Sq.Ft</t>
  </si>
  <si>
    <t>T6-8-O</t>
  </si>
  <si>
    <t>T6-8-O -</t>
  </si>
  <si>
    <t>320 - INDUSTRIAL INTENSIVE, HEAVY-LIGHT MANUFACTURING, AND WAREHOUSING-STORAGE TYPE OF USE</t>
  </si>
  <si>
    <t>01-3125-005-0150</t>
  </si>
  <si>
    <t>144 NE 28 ST</t>
  </si>
  <si>
    <t>0081 VACANT RESIDENTIAL : VACANT LAND</t>
  </si>
  <si>
    <t>2,188 Sq.Ft</t>
  </si>
  <si>
    <t>804 - VACANT, NON-PROTECTED, PRIVATELY-OWNED</t>
  </si>
  <si>
    <t>01-3125-005-0130</t>
  </si>
  <si>
    <t>146 NE 28 ST</t>
  </si>
  <si>
    <t>2,360 Sq.Ft</t>
  </si>
  <si>
    <t>01-3125-005-0090</t>
  </si>
  <si>
    <t>148 NE 28 ST</t>
  </si>
  <si>
    <t>RAMMOS HOLDCO INC</t>
  </si>
  <si>
    <t>4,688 Sq.Ft</t>
  </si>
  <si>
    <t>01-3125-005-0070</t>
  </si>
  <si>
    <t>156 NE 28 ST</t>
  </si>
  <si>
    <t>156 NE 28 ST LLC</t>
  </si>
  <si>
    <t>1081 VACANT LAND - COMMERCIAL : VACANT LAND</t>
  </si>
  <si>
    <t>1,875 Sq.Ft</t>
  </si>
  <si>
    <t>11 - SINGLE-FAMILY, HIGH DENSITY (OVER 5 DU/GROSS ACRE, OTHER THAN TOWNHOUSES, DUPLEXES AND MOBILE HOMES)</t>
  </si>
  <si>
    <t>01-3125-005-0050</t>
  </si>
  <si>
    <t>160 NE 28 ST</t>
  </si>
  <si>
    <t>MAGGIE SHEA</t>
  </si>
  <si>
    <t>0101 RESIDENTIAL - SINGLE FAMILY : 1 UNIT</t>
  </si>
  <si>
    <t>1,750 Sq.Ft</t>
  </si>
  <si>
    <t>01-3125-005-0030</t>
  </si>
  <si>
    <t>166 NE 28 ST</t>
  </si>
  <si>
    <t>27EDGEWATER LLC</t>
  </si>
  <si>
    <t>3,500 Sq.Ft</t>
  </si>
  <si>
    <t>01-3125-005-0020</t>
  </si>
  <si>
    <t>2728 NE 2 AVE</t>
  </si>
  <si>
    <t>510 - MUNICIPAL OPERATED PARKS</t>
  </si>
  <si>
    <t>01-3125-006-0060</t>
  </si>
  <si>
    <t>151 NE 27 ST</t>
  </si>
  <si>
    <t>14,000 Sq.Ft</t>
  </si>
  <si>
    <t>01-3125-006-0050</t>
  </si>
  <si>
    <t>159 NE 27 ST</t>
  </si>
  <si>
    <t>7,000 Sq.Ft</t>
  </si>
  <si>
    <t>01-3125-006-0040</t>
  </si>
  <si>
    <t>161 NE 27 ST</t>
  </si>
  <si>
    <t>01-3125-006-0030</t>
  </si>
  <si>
    <t>169 NE 27 ST</t>
  </si>
  <si>
    <t>1066 VACANT LAND - COMMERCIAL : EXTRA FEA OTHER THAN PARKING</t>
  </si>
  <si>
    <t>17,550 Sq.Ft</t>
  </si>
  <si>
    <t>01-3125-007-0100</t>
  </si>
  <si>
    <t>POMELO PARK</t>
  </si>
  <si>
    <t>125 NE 26 ST</t>
  </si>
  <si>
    <t>52,250 Sq.Ft</t>
  </si>
  <si>
    <t>01-3125-006-0190</t>
  </si>
  <si>
    <t>130 NE 27 ST</t>
  </si>
  <si>
    <t>01-3125-006-0210</t>
  </si>
  <si>
    <t>144 NE 27 ST</t>
  </si>
  <si>
    <t>01-3125-006-0220</t>
  </si>
  <si>
    <t>150 NE 27 ST</t>
  </si>
  <si>
    <t>0803 MULTIFAMILY 2-9 UNITS : MULTIFAMILY 3 OR MORE UNITS</t>
  </si>
  <si>
    <t>30 - MULTI-FAMILY, LOW-DENSITY (UNDER 25 DU/GROSS ACRE)</t>
  </si>
  <si>
    <t>01-3125-006-0230</t>
  </si>
  <si>
    <t>156 NE 27 ST</t>
  </si>
  <si>
    <t>0802 MULTIFAMILY 2-9 UNITS : 2 LIVING UNITS</t>
  </si>
  <si>
    <t>01-3125-006-0240</t>
  </si>
  <si>
    <t>186 NE 27 ST</t>
  </si>
  <si>
    <t>Y &amp; K ENTERPRISES INC</t>
  </si>
  <si>
    <t>01-3125-006-0010</t>
  </si>
  <si>
    <t>192 NE 27 ST</t>
  </si>
  <si>
    <t>11,726 Sq.Ft</t>
  </si>
  <si>
    <t>01-3125-006-0020</t>
  </si>
  <si>
    <t>2634 NE 2 AV</t>
  </si>
  <si>
    <t>5,823 Sq.Ft</t>
  </si>
  <si>
    <t>01-3125-007-0110</t>
  </si>
  <si>
    <t>145 NE 26 ST</t>
  </si>
  <si>
    <t>6,800 Sq.Ft</t>
  </si>
  <si>
    <t>01-3125-007-0130</t>
  </si>
  <si>
    <t>157 NE 26 ST</t>
  </si>
  <si>
    <t>1,620 Sq.Ft</t>
  </si>
  <si>
    <t>Temporarily Unavailable</t>
  </si>
  <si>
    <t>01-3125-007-0170</t>
  </si>
  <si>
    <t>2,974 Sq.Ft</t>
  </si>
  <si>
    <t>01-3125-007-0150</t>
  </si>
  <si>
    <t>161 NE 26 ST</t>
  </si>
  <si>
    <t>4,501 Sq.Ft</t>
  </si>
  <si>
    <t xml:space="preserve">01-3125-007-0180 </t>
  </si>
  <si>
    <t>167 NE 26 ST</t>
  </si>
  <si>
    <t>8,090 Sq.Ft</t>
  </si>
  <si>
    <t xml:space="preserve">01-3125-007-0190 </t>
  </si>
  <si>
    <t>189 NE 26 ST</t>
  </si>
  <si>
    <t>GATO ENCERRADO LLC</t>
  </si>
  <si>
    <t>9,930 Sq.Ft</t>
  </si>
  <si>
    <t>01-3125-007-0200</t>
  </si>
  <si>
    <t>2626 NE 2 AV</t>
  </si>
  <si>
    <t>MARIO A ARBER TRS</t>
  </si>
  <si>
    <t>13,050 Sq.Ft</t>
  </si>
  <si>
    <t>01-3125-007-0210</t>
  </si>
  <si>
    <t>2600 NE 2 AV</t>
  </si>
  <si>
    <t>MIDTOWN PROPERTY 21 LLC</t>
  </si>
  <si>
    <t>6981 CONTAINER NURSERY ABOVE-GR : VACANT LAND</t>
  </si>
  <si>
    <t>14,154.4 Sq.Ft</t>
  </si>
  <si>
    <t>25 (split)</t>
  </si>
  <si>
    <t>01-3125-007-0120</t>
  </si>
  <si>
    <t>153 NE 26 ST</t>
  </si>
  <si>
    <t>5,538 Sq.Ft</t>
  </si>
  <si>
    <t>Wynwood</t>
  </si>
  <si>
    <t>01-3125-004-0130</t>
  </si>
  <si>
    <t>2827 N MIAMI AVE</t>
  </si>
  <si>
    <t>LEEMA HOLDINGS GROUP LLC</t>
  </si>
  <si>
    <t>3,250 Sq.Ft</t>
  </si>
  <si>
    <t>440 - HOUSES OF WORSHIP AND RELIGIOUS.</t>
  </si>
  <si>
    <t>01-3125-004-0150</t>
  </si>
  <si>
    <t>10 NE 29 ST</t>
  </si>
  <si>
    <t>3,450 Sq.Ft</t>
  </si>
  <si>
    <t>804 - VACANT, NON-PROTECTED, PRIVATELY-OWNED.</t>
  </si>
  <si>
    <t>01-3125-004-0160</t>
  </si>
  <si>
    <t>20 NE 29 ST</t>
  </si>
  <si>
    <t>MIAMI-DADE COUNTY ISD R/E MGMT</t>
  </si>
  <si>
    <t>8080 VACANT GOVERNMENTAL : VACANT LAND - GOVERNMENTAL</t>
  </si>
  <si>
    <t>6,900 Sq.Ft</t>
  </si>
  <si>
    <t>801 - VACANT GOVERNMENT OWNED OR CONTROLLED</t>
  </si>
  <si>
    <t>01-3125-004-0170</t>
  </si>
  <si>
    <t>28 NE 29 ST</t>
  </si>
  <si>
    <t>29 STREET WAREHOUSES LLC</t>
  </si>
  <si>
    <t>2111 RESTAURANT OR CAFETERIA : RETAIL OUTLET</t>
  </si>
  <si>
    <t>01-3125-004-0180</t>
  </si>
  <si>
    <t>40 NE 29 ST</t>
  </si>
  <si>
    <t>2865 PARKING LOT/MOBILE HOME PARK : PARKING LOT</t>
  </si>
  <si>
    <t>13,800 Sq.Ft</t>
  </si>
  <si>
    <t>650 - PARKING - PUBLIC AND PRIVATE GARAGES AND LOTS</t>
  </si>
  <si>
    <t xml:space="preserve">01-3125-004-0190 </t>
  </si>
  <si>
    <t xml:space="preserve">44 NE 29 ST </t>
  </si>
  <si>
    <t xml:space="preserve">29 ST WAREHOUSE LLC </t>
  </si>
  <si>
    <t xml:space="preserve">T6-8-O - </t>
  </si>
  <si>
    <t xml:space="preserve"> 	804 - VACANT, NON-PROTECTED, PRIVATELY-OWNED.</t>
  </si>
  <si>
    <t>01-3125-004-0200</t>
  </si>
  <si>
    <t>50 NE 29 ST</t>
  </si>
  <si>
    <t>01-3125-004-0220</t>
  </si>
  <si>
    <t>80 NE 29 ST; 82 NE 29 ST</t>
  </si>
  <si>
    <t>01-3125-004-0230</t>
  </si>
  <si>
    <t>84 NE 29 ST</t>
  </si>
  <si>
    <t>29TH STREET WAREHOUSES LLC C/O LOMBARDI PROPERTIES</t>
  </si>
  <si>
    <t>01-3125-004-0240</t>
  </si>
  <si>
    <t>100 NE 29 ST; 94 NE 29 ST</t>
  </si>
  <si>
    <t>101 NE 28 STREET LLC</t>
  </si>
  <si>
    <t>24,288 Sq.Ft</t>
  </si>
  <si>
    <t>01-3125-004-0140</t>
  </si>
  <si>
    <t>2817 N MIAMI AVE</t>
  </si>
  <si>
    <t>7,106 Sq.Ft</t>
  </si>
  <si>
    <t>412 - PRIVATE SCHOOLS, INCLUDING PLAYGROUNDS (K-12, VOCATIONAL ED., DAY CARE AND CHILD NURSERIES)</t>
  </si>
  <si>
    <t>01-3125-005-0510</t>
  </si>
  <si>
    <t>2811 N MIAMI AVE</t>
  </si>
  <si>
    <t>7241 EDUCATIONAL/SCIENTIFIC - EX : EDUCATIONAL - PRIVATE</t>
  </si>
  <si>
    <t>5,250 Sq.Ft</t>
  </si>
  <si>
    <t>01-3125-005-0470</t>
  </si>
  <si>
    <t>17 NE 28 ST</t>
  </si>
  <si>
    <t>4081 VACANT LAND - INDUSTRIAL : VACANT LAND</t>
  </si>
  <si>
    <t>01-3125-005-0480</t>
  </si>
  <si>
    <t>21 NE 28 ST</t>
  </si>
  <si>
    <t>6101 CEN-PEDESTRIAN ORIENTATIO</t>
  </si>
  <si>
    <t>825 Sq.Ft</t>
  </si>
  <si>
    <t>T5-O</t>
  </si>
  <si>
    <t>T5-O -</t>
  </si>
  <si>
    <t>01-3125-005-0450</t>
  </si>
  <si>
    <t>25 NE 28 ST</t>
  </si>
  <si>
    <t>UN MELON EN WYNWOOD LLC</t>
  </si>
  <si>
    <t>01-3125-005-0420</t>
  </si>
  <si>
    <t>31 NE 28 ST</t>
  </si>
  <si>
    <t>JAMISON PROPERTIES LLC</t>
  </si>
  <si>
    <t>1713 OFFICE BUILDING - ONE STORY : OFFICE BUILDING</t>
  </si>
  <si>
    <t>342 - INDUSTRIAL INTENSIVE, OFFICE TYPE OF USE</t>
  </si>
  <si>
    <t>01-3125-005-0380</t>
  </si>
  <si>
    <t>37 NE 28 ST</t>
  </si>
  <si>
    <t>1211 MIXED USE-STORE/RESIDENTIAL : RETAIL OUTLET</t>
  </si>
  <si>
    <t>01-3125-005-0360</t>
  </si>
  <si>
    <t>59 NE 28 ST</t>
  </si>
  <si>
    <t>29 ST WAREHOUSES LLC</t>
  </si>
  <si>
    <t>01-3125-005-0350</t>
  </si>
  <si>
    <t>61 NE 28 ST</t>
  </si>
  <si>
    <t>01-3125-005-0330</t>
  </si>
  <si>
    <t>75 NE 28 ST</t>
  </si>
  <si>
    <t>01-3125-005-0300</t>
  </si>
  <si>
    <t>79 NE 28 ST</t>
  </si>
  <si>
    <t>01-3125-005-0280</t>
  </si>
  <si>
    <t>89 NE 28 ST</t>
  </si>
  <si>
    <t>WYNWOOD SPACES LLC</t>
  </si>
  <si>
    <t>339 - INDUSTRIAL EXTENSIVE</t>
  </si>
  <si>
    <t>01-3125-005-0270</t>
  </si>
  <si>
    <t>93 NE 28 ST</t>
  </si>
  <si>
    <t>01-3125-005-0250</t>
  </si>
  <si>
    <t>97 NE 28 ST</t>
  </si>
  <si>
    <t>01-3125-005-0230</t>
  </si>
  <si>
    <t>101 NE 28 ST</t>
  </si>
  <si>
    <t>101 NE 28 ST LLC</t>
  </si>
  <si>
    <t>7,070 Sq.Ft</t>
  </si>
  <si>
    <t>01-3125-006-0130</t>
  </si>
  <si>
    <t>2751 N MIAMI AVE</t>
  </si>
  <si>
    <t>OMM PROJECT INC</t>
  </si>
  <si>
    <t>4132 LIGHT MANUFACTURING : LIGHT MFG &amp; FOOD PROCESSING</t>
  </si>
  <si>
    <t>24,808 Sq.Ft</t>
  </si>
  <si>
    <t>01-3125-005-0490</t>
  </si>
  <si>
    <t>20 NE 28 ST</t>
  </si>
  <si>
    <t>01-3125-005-0460</t>
  </si>
  <si>
    <t>24 NE 28 ST</t>
  </si>
  <si>
    <t>01-3125-005-0440</t>
  </si>
  <si>
    <t>28 NE 28 ST; 30 NE 28 ST</t>
  </si>
  <si>
    <t>FILIBERTO VAZQUEZ &amp;W NIDIA H</t>
  </si>
  <si>
    <t>20 - TWO-FAMILY (DUPLEXES)</t>
  </si>
  <si>
    <t>01-3125-005-0430</t>
  </si>
  <si>
    <t>40 NE 28 ST</t>
  </si>
  <si>
    <t>0066 VACANT RESIDENTIAL : EXTRA FEA OTHER THAN PARKING</t>
  </si>
  <si>
    <t>01-3125-005-0400</t>
  </si>
  <si>
    <t>42 NE 28 ST</t>
  </si>
  <si>
    <t>NEWCOMB PROPERTIES #2 LLC</t>
  </si>
  <si>
    <t>01-3125-005-0390</t>
  </si>
  <si>
    <t>54 NE 28 ST</t>
  </si>
  <si>
    <t>01-3125-005-0370</t>
  </si>
  <si>
    <t>58 NE 28 ST</t>
  </si>
  <si>
    <t>01-3125-005-0340</t>
  </si>
  <si>
    <t>66 NE 28 ST</t>
  </si>
  <si>
    <t>01-3125-005-0310</t>
  </si>
  <si>
    <t>72 NE 28 ST</t>
  </si>
  <si>
    <t>01-3125-005-0290</t>
  </si>
  <si>
    <t>80 NE 28 ST</t>
  </si>
  <si>
    <t>01-3125-005-0240</t>
  </si>
  <si>
    <t>100 NE 28 ST</t>
  </si>
  <si>
    <t>10,570 Sq.Ft</t>
  </si>
  <si>
    <t>01-3125-006-0111</t>
  </si>
  <si>
    <t>27 NE 27 ST</t>
  </si>
  <si>
    <t>27 STREET LLC</t>
  </si>
  <si>
    <t>01-3125-006-0110</t>
  </si>
  <si>
    <t>37 NE 27 ST</t>
  </si>
  <si>
    <t>01-3125-006-0100</t>
  </si>
  <si>
    <t>45 NE 27 ST</t>
  </si>
  <si>
    <t>2719 AUTOMOTIVE OR MARINE : AUTOMOTIVE OR MARINE</t>
  </si>
  <si>
    <t>35,000 Sq.Ft</t>
  </si>
  <si>
    <t>01-3125-006-0090</t>
  </si>
  <si>
    <t>85 NE 27 ST</t>
  </si>
  <si>
    <t>15,750 Sq.Ft</t>
  </si>
  <si>
    <t>01-3125-006-0150</t>
  </si>
  <si>
    <t>2637 N MIAMI AV</t>
  </si>
  <si>
    <t>WYNWOOD GATES LLC</t>
  </si>
  <si>
    <t>15,293 Sq.Ft</t>
  </si>
  <si>
    <t>01-3125-006-0160</t>
  </si>
  <si>
    <t>26 NE 27 ST</t>
  </si>
  <si>
    <t>ART BY GOD INC</t>
  </si>
  <si>
    <t>28,000 Sq.Ft</t>
  </si>
  <si>
    <t>01-3125-006-0170</t>
  </si>
  <si>
    <t>60 NE 27 ST</t>
  </si>
  <si>
    <t>6,985 Sq.Ft</t>
  </si>
  <si>
    <t>01-3125-006-0180</t>
  </si>
  <si>
    <t>62 NE 27 ST</t>
  </si>
  <si>
    <t>GARI NADER &amp; CO LLC</t>
  </si>
  <si>
    <t>4937 OPEN STORAGE : WAREHOUSE OR STORAGE</t>
  </si>
  <si>
    <t>51,644 Sq.Ft</t>
  </si>
  <si>
    <t>01-3125-008-0060</t>
  </si>
  <si>
    <t>EVON ADDN</t>
  </si>
  <si>
    <t>2605 N MIAMI AVE</t>
  </si>
  <si>
    <t>18,455 Sq.Ft</t>
  </si>
  <si>
    <t>01-3125-008-0050</t>
  </si>
  <si>
    <t>21 NE 26 ST</t>
  </si>
  <si>
    <t>21 NE 26 LLC</t>
  </si>
  <si>
    <t>1813 OFFICE BUILDING - MULTISTORY : OFFICE BUILDING</t>
  </si>
  <si>
    <t>7,150 Sq.Ft</t>
  </si>
  <si>
    <t>01-3125-008-0040</t>
  </si>
  <si>
    <t>25 NE 26 ST</t>
  </si>
  <si>
    <t>7,135 Sq.Ft</t>
  </si>
  <si>
    <t>01-3125-008-0030</t>
  </si>
  <si>
    <t>35 NE 26 ST</t>
  </si>
  <si>
    <t>35 NE 26TH STREET LLC</t>
  </si>
  <si>
    <t>1229 MIXED USE-STORE/RESIDENTIAL : MIXED USE - COMMERCIAL</t>
  </si>
  <si>
    <t>01-3125-008-0020</t>
  </si>
  <si>
    <t>45 NE 26 ST</t>
  </si>
  <si>
    <t>35 NE 26 STREET LLC</t>
  </si>
  <si>
    <t>2914 WHOLESALE OUTLET : WHOLESALE OUTLET</t>
  </si>
  <si>
    <t>01-3125-008-0011</t>
  </si>
  <si>
    <t>61 NE 26 ST</t>
  </si>
  <si>
    <t>14,270 Sq.Ft</t>
  </si>
  <si>
    <t>Entry Cap Rate</t>
  </si>
  <si>
    <t>Exit Cap Rate</t>
  </si>
  <si>
    <t>Hold Period</t>
  </si>
  <si>
    <t>Acquisition Date</t>
  </si>
  <si>
    <t>Sales Costs</t>
  </si>
  <si>
    <t>Discount Rate</t>
  </si>
  <si>
    <t>Hard Costs</t>
  </si>
  <si>
    <t>Total Hard Costs</t>
  </si>
  <si>
    <t>Total Soft Costs</t>
  </si>
  <si>
    <t>Interest Reserve</t>
  </si>
  <si>
    <t>Land Size</t>
  </si>
  <si>
    <t>Zoning</t>
  </si>
  <si>
    <t>FAR</t>
  </si>
  <si>
    <t>Total Buildable</t>
  </si>
  <si>
    <t>Construction End</t>
  </si>
  <si>
    <t>Stabilization Date</t>
  </si>
  <si>
    <t>Sales Commission</t>
  </si>
  <si>
    <t>Total Investment Period (Years)</t>
  </si>
  <si>
    <t>Year</t>
  </si>
  <si>
    <t>Date</t>
  </si>
  <si>
    <t>Construction Timeline (Straight-Line)</t>
  </si>
  <si>
    <t>Soft Costs</t>
  </si>
  <si>
    <t>Revenues</t>
  </si>
  <si>
    <t>Occupancy</t>
  </si>
  <si>
    <t>Operating Expenses</t>
  </si>
  <si>
    <t>Total Operating Expenses</t>
  </si>
  <si>
    <t>Net Sales Proceeds</t>
  </si>
  <si>
    <t>Project Unlevered Cash Flows</t>
  </si>
  <si>
    <t>Project Unlevered IRR</t>
  </si>
  <si>
    <t>Project Unlevered Cash Multiple</t>
  </si>
  <si>
    <t>Levered Cash Flows</t>
  </si>
  <si>
    <t>Equity Available</t>
  </si>
  <si>
    <t>Equity Drawn</t>
  </si>
  <si>
    <t>Equity Remaining</t>
  </si>
  <si>
    <t>Cash Flows After Equity Draws</t>
  </si>
  <si>
    <t>Construction Loan</t>
  </si>
  <si>
    <t>Beginning Balance</t>
  </si>
  <si>
    <t>Origination Fee</t>
  </si>
  <si>
    <t>Loan Draws</t>
  </si>
  <si>
    <t>Interest</t>
  </si>
  <si>
    <t>Principal Repayment</t>
  </si>
  <si>
    <t>Ending Balance</t>
  </si>
  <si>
    <t>Cash Flows after Construction Loan</t>
  </si>
  <si>
    <t>Permanent Loan</t>
  </si>
  <si>
    <t>Cash Flows after Permanent Loan</t>
  </si>
  <si>
    <t>Project Levered IRR</t>
  </si>
  <si>
    <t>Project Levered Cash Multiple</t>
  </si>
  <si>
    <t>Project Refinance</t>
  </si>
  <si>
    <t>Ownership</t>
  </si>
  <si>
    <t>Own</t>
  </si>
  <si>
    <t>Commerical</t>
  </si>
  <si>
    <t>Multifamily Rental</t>
  </si>
  <si>
    <t>Project Use Mix</t>
  </si>
  <si>
    <t>SF</t>
  </si>
  <si>
    <t>Phase II - Timeline</t>
  </si>
  <si>
    <t>Phase</t>
  </si>
  <si>
    <t>Phase II</t>
  </si>
  <si>
    <t>Acquire</t>
  </si>
  <si>
    <t>Phase I - Timeline</t>
  </si>
  <si>
    <t>Construction Start Date</t>
  </si>
  <si>
    <t>Uses</t>
  </si>
  <si>
    <t>%</t>
  </si>
  <si>
    <t>$/BSF</t>
  </si>
  <si>
    <t>Land Costs</t>
  </si>
  <si>
    <t>Total Uses</t>
  </si>
  <si>
    <t>Phase I - Sources</t>
  </si>
  <si>
    <t>Total Project Information</t>
  </si>
  <si>
    <t>Phase I - Project Information</t>
  </si>
  <si>
    <t>Phase I - Uses</t>
  </si>
  <si>
    <t>Total Sources</t>
  </si>
  <si>
    <t>Phase I - Financing</t>
  </si>
  <si>
    <t>Interest Rate</t>
  </si>
  <si>
    <t>LTC</t>
  </si>
  <si>
    <t>Loan Amount</t>
  </si>
  <si>
    <t>1 month Libor</t>
  </si>
  <si>
    <t>Spread</t>
  </si>
  <si>
    <t>Total Rate</t>
  </si>
  <si>
    <t>Phase I - Permanent Loan</t>
  </si>
  <si>
    <t>LTV</t>
  </si>
  <si>
    <t>Refinance Cap Rate</t>
  </si>
  <si>
    <t>Refinance Valuation</t>
  </si>
  <si>
    <t>Refinance Proceeds</t>
  </si>
  <si>
    <t>Phase I Pro Forma</t>
  </si>
  <si>
    <t>x</t>
  </si>
  <si>
    <t>Property Information</t>
  </si>
  <si>
    <t>Operating Information</t>
  </si>
  <si>
    <t>Permanent Mortgage Conditions</t>
  </si>
  <si>
    <t>Number of Units</t>
  </si>
  <si>
    <t>Rent/Month</t>
  </si>
  <si>
    <t>Debt</t>
  </si>
  <si>
    <t>GSF</t>
  </si>
  <si>
    <t xml:space="preserve">   Studio Unit</t>
  </si>
  <si>
    <t xml:space="preserve">   1BR</t>
  </si>
  <si>
    <t>Term</t>
  </si>
  <si>
    <t>% Studio</t>
  </si>
  <si>
    <t xml:space="preserve">   2BR</t>
  </si>
  <si>
    <t>Monthly Payment</t>
  </si>
  <si>
    <t>% 1BR</t>
  </si>
  <si>
    <t>Average Vacancy</t>
  </si>
  <si>
    <t>%2BR</t>
  </si>
  <si>
    <t>Average Rental Rate Increase</t>
  </si>
  <si>
    <t>Lease-Up to Stabilization (Months)</t>
  </si>
  <si>
    <t>DSCR</t>
  </si>
  <si>
    <t>Lease-Up Velocity (Units/Month)</t>
  </si>
  <si>
    <t>Debt Yield</t>
  </si>
  <si>
    <t>Average Annual Operating Expense/Unit</t>
  </si>
  <si>
    <t>Cap Rate</t>
  </si>
  <si>
    <t>Total Parking Spaces</t>
  </si>
  <si>
    <t>Average Expense Inflation</t>
  </si>
  <si>
    <t>Management Fee (% of Net Revenues)</t>
  </si>
  <si>
    <t>Sources</t>
  </si>
  <si>
    <t xml:space="preserve">Parking Space rent/space/annum </t>
  </si>
  <si>
    <t xml:space="preserve">Cap Ex Reserve </t>
  </si>
  <si>
    <t>Loan Sizing</t>
  </si>
  <si>
    <t xml:space="preserve">Holding Period </t>
  </si>
  <si>
    <t xml:space="preserve">Discount Rate </t>
  </si>
  <si>
    <t>Reversionary Cap Rate</t>
  </si>
  <si>
    <t>Project Cost</t>
  </si>
  <si>
    <t>Closing Costs</t>
  </si>
  <si>
    <t>Lease Up</t>
  </si>
  <si>
    <t>PGI</t>
  </si>
  <si>
    <t>Studio</t>
  </si>
  <si>
    <t>1BR</t>
  </si>
  <si>
    <t>2BR</t>
  </si>
  <si>
    <t>Pro Forma</t>
  </si>
  <si>
    <t>Revenue</t>
  </si>
  <si>
    <t xml:space="preserve">     Studio</t>
  </si>
  <si>
    <t xml:space="preserve">     1BR</t>
  </si>
  <si>
    <t xml:space="preserve">     2BR</t>
  </si>
  <si>
    <t>Other Income</t>
  </si>
  <si>
    <t xml:space="preserve">     Parking</t>
  </si>
  <si>
    <t>Potential Gross Income</t>
  </si>
  <si>
    <t>Vacancy</t>
  </si>
  <si>
    <t>EGI</t>
  </si>
  <si>
    <t>Management Fee</t>
  </si>
  <si>
    <t>NOI</t>
  </si>
  <si>
    <t>Sale</t>
  </si>
  <si>
    <t>Unleveraged Cash Flow</t>
  </si>
  <si>
    <t>Profit</t>
  </si>
  <si>
    <t>PV</t>
  </si>
  <si>
    <t>NPV</t>
  </si>
  <si>
    <t>Unleveraged IRR</t>
  </si>
  <si>
    <t>Equity Multiple</t>
  </si>
  <si>
    <t>Loan Proceeds</t>
  </si>
  <si>
    <t>Loan Payback</t>
  </si>
  <si>
    <t>Debt Service Payment</t>
  </si>
  <si>
    <t>Leveraged Cash Flow</t>
  </si>
  <si>
    <t>Leveraged IRR</t>
  </si>
  <si>
    <t>Financial Metrics</t>
  </si>
  <si>
    <t>Yield on Cost</t>
  </si>
  <si>
    <t>Cash on Cash</t>
  </si>
  <si>
    <t>Amortization</t>
  </si>
  <si>
    <t>Return on Equity</t>
  </si>
  <si>
    <t>Total Phase I</t>
  </si>
  <si>
    <t>Phase I - Use Mix</t>
  </si>
  <si>
    <t>Phase II - Use Mix</t>
  </si>
  <si>
    <t>Phase I - Hard Cost Estimate</t>
  </si>
  <si>
    <t>Phase I - Soft Cost Estimate</t>
  </si>
  <si>
    <t>Phase II - Soft Cost Estimate</t>
  </si>
  <si>
    <t>Phase II - Hard Cost Estimate</t>
  </si>
  <si>
    <t>Phase I - Total Hard Costs</t>
  </si>
  <si>
    <t>Phase I - Total Soft Costs</t>
  </si>
  <si>
    <t>Phase I - Land Estimate Attributed</t>
  </si>
  <si>
    <t>Phase I - Origination Fee Attributed</t>
  </si>
  <si>
    <t>Phase I - Interest Reserve Attributed</t>
  </si>
  <si>
    <t xml:space="preserve">Total </t>
  </si>
  <si>
    <t>Financial Information</t>
  </si>
  <si>
    <t>PSF</t>
  </si>
  <si>
    <t>RSF</t>
  </si>
  <si>
    <t>Lease Terms</t>
  </si>
  <si>
    <t>Lease Term</t>
  </si>
  <si>
    <t>years</t>
  </si>
  <si>
    <t>Base Rent</t>
  </si>
  <si>
    <t>psf gross</t>
  </si>
  <si>
    <t>Rent Growth</t>
  </si>
  <si>
    <t>annual</t>
  </si>
  <si>
    <t>Repairs and Maintenance</t>
  </si>
  <si>
    <t>Expense Growth</t>
  </si>
  <si>
    <t>Administrative</t>
  </si>
  <si>
    <t>Vacancy Y1</t>
  </si>
  <si>
    <t>TI</t>
  </si>
  <si>
    <t>psf</t>
  </si>
  <si>
    <t>Property Management Fee (% gross revenue)</t>
  </si>
  <si>
    <t>LC</t>
  </si>
  <si>
    <t>Free Rent</t>
  </si>
  <si>
    <t>Months</t>
  </si>
  <si>
    <t>Y1 NOI</t>
  </si>
  <si>
    <t>Loan Terms</t>
  </si>
  <si>
    <t>Proceeds</t>
  </si>
  <si>
    <t>of total cost</t>
  </si>
  <si>
    <t xml:space="preserve">years </t>
  </si>
  <si>
    <t>Loan</t>
  </si>
  <si>
    <t>Monthly PMT</t>
  </si>
  <si>
    <t>Leasing Costs</t>
  </si>
  <si>
    <t>Leasing Commissions</t>
  </si>
  <si>
    <t>Tenant Improvements</t>
  </si>
  <si>
    <t>Commission Calculation (PSF)</t>
  </si>
  <si>
    <t>Rent</t>
  </si>
  <si>
    <t>Percentage</t>
  </si>
  <si>
    <t>Sensitivity Analysis</t>
  </si>
  <si>
    <t>Exit Year</t>
  </si>
  <si>
    <t>Given</t>
  </si>
  <si>
    <t>Construction</t>
  </si>
  <si>
    <t>Rooms</t>
  </si>
  <si>
    <t>ADR</t>
  </si>
  <si>
    <t>ADR Growth</t>
  </si>
  <si>
    <t>Project Costs</t>
  </si>
  <si>
    <t>Average Occupancy</t>
  </si>
  <si>
    <t>Average Daily Rate</t>
  </si>
  <si>
    <t>Number of Rooms</t>
  </si>
  <si>
    <t>Available Rooms</t>
  </si>
  <si>
    <t>Days</t>
  </si>
  <si>
    <t>RevPar</t>
  </si>
  <si>
    <t>Occupied Rooms</t>
  </si>
  <si>
    <t>Revenues - Room</t>
  </si>
  <si>
    <t>Revenues - F&amp;B</t>
  </si>
  <si>
    <t>Revenues - Other Operating Departments</t>
  </si>
  <si>
    <t>Property Assumptions</t>
  </si>
  <si>
    <t>Revenue F&amp;B</t>
  </si>
  <si>
    <t>Revenue Other Operating Departments</t>
  </si>
  <si>
    <t>Revenue Room</t>
  </si>
  <si>
    <t>Expenses Room</t>
  </si>
  <si>
    <t>Expenses F&amp;B</t>
  </si>
  <si>
    <t>Expenses Other Operating Departments</t>
  </si>
  <si>
    <t>OPEX - Other Operating Departments</t>
  </si>
  <si>
    <t>OPEX - F&amp;B</t>
  </si>
  <si>
    <t>OPEX - Room</t>
  </si>
  <si>
    <t>Revenue and Expense Assumptions P.O.R.</t>
  </si>
  <si>
    <t>Undistributed Operating Expenses</t>
  </si>
  <si>
    <t>Administrative &amp; General</t>
  </si>
  <si>
    <t>Marketing</t>
  </si>
  <si>
    <t>Franchise Fee</t>
  </si>
  <si>
    <t>Prop. Operations &amp; Maint.</t>
  </si>
  <si>
    <t>Information and Telecommunications</t>
  </si>
  <si>
    <t>Total Undistributed Operating Expenses</t>
  </si>
  <si>
    <t>Undistributed Operating Expenses P.O.R.</t>
  </si>
  <si>
    <t>Efficiency</t>
  </si>
  <si>
    <t>of Hard Costs</t>
  </si>
  <si>
    <t>Market Rate Rental</t>
  </si>
  <si>
    <t>Commercial</t>
  </si>
  <si>
    <t>Phase I - Net Operating Income (NOI)</t>
  </si>
  <si>
    <t>Total Phase I Revenues</t>
  </si>
  <si>
    <t>Total Phase I Operating Expenses</t>
  </si>
  <si>
    <t>Construction Period Years</t>
  </si>
  <si>
    <t>Phase I - Asset Valuation</t>
  </si>
  <si>
    <t>check --&gt;</t>
  </si>
  <si>
    <t>Refinance NOI</t>
  </si>
  <si>
    <t>Project Sale</t>
  </si>
  <si>
    <t>Phase I - Assumptions</t>
  </si>
  <si>
    <t>Phase II - Assumptions</t>
  </si>
  <si>
    <t>Phase II Pro Forma</t>
  </si>
  <si>
    <t>Phase II - Total Hard Costs</t>
  </si>
  <si>
    <t>Phase II - Total Soft Costs</t>
  </si>
  <si>
    <t>Phase II - Land Estimate Attributed</t>
  </si>
  <si>
    <t>Phase II - Origination Fee Attributed</t>
  </si>
  <si>
    <t>Phase II - Interest Reserve Attributed</t>
  </si>
  <si>
    <t>Per SF</t>
  </si>
  <si>
    <t>Phase II - Project Information</t>
  </si>
  <si>
    <t>Phase II - Uses</t>
  </si>
  <si>
    <t>Phase II - Sources</t>
  </si>
  <si>
    <t>Phase II - Financing</t>
  </si>
  <si>
    <t>Phase II - Permanent Loan</t>
  </si>
  <si>
    <t>Blended FAR</t>
  </si>
  <si>
    <t>LIHTC Equity</t>
  </si>
  <si>
    <t>Affordable Rental</t>
  </si>
  <si>
    <t>&lt;-- Percent Affordable</t>
  </si>
  <si>
    <t>Phase I:</t>
  </si>
  <si>
    <t>&lt;-- Check</t>
  </si>
  <si>
    <t>Phase II:</t>
  </si>
  <si>
    <t>Affordability</t>
  </si>
  <si>
    <t>Applicable Fraction</t>
  </si>
  <si>
    <t>Acquisition Basis</t>
  </si>
  <si>
    <t>New Construction Basis</t>
  </si>
  <si>
    <t>Qualified Census Tract?</t>
  </si>
  <si>
    <t>Y</t>
  </si>
  <si>
    <t>Basis Boost</t>
  </si>
  <si>
    <t>Qualified Basis</t>
  </si>
  <si>
    <t>4% Credit Percentage</t>
  </si>
  <si>
    <t>Annual Credits</t>
  </si>
  <si>
    <t>Total Credit Amount</t>
  </si>
  <si>
    <t>Percentage Syndicated</t>
  </si>
  <si>
    <t>Syndication Price</t>
  </si>
  <si>
    <t xml:space="preserve">LIHTC Equity </t>
  </si>
  <si>
    <t>LIHTC Eligible</t>
  </si>
  <si>
    <t>Opportunity Zone Equity</t>
  </si>
  <si>
    <t>Affordable Rental Housing</t>
  </si>
  <si>
    <t>Permanent Loan Origination</t>
  </si>
  <si>
    <t>Project Sale Date</t>
  </si>
  <si>
    <t>Permenant Loan Origination</t>
  </si>
  <si>
    <t>Hold Period after Stabilzation (Years)</t>
  </si>
  <si>
    <t>Stabilization Period (Years)</t>
  </si>
  <si>
    <t>Lease-Up</t>
  </si>
  <si>
    <t>Stabilization</t>
  </si>
  <si>
    <t>Acquisition</t>
  </si>
  <si>
    <t>Market-Rate Housing</t>
  </si>
  <si>
    <t>Present Value</t>
  </si>
  <si>
    <t>Pre-Dev</t>
  </si>
  <si>
    <t>&lt;--Discount Rate</t>
  </si>
  <si>
    <t>Market Rate Rental Housing</t>
  </si>
  <si>
    <t>Hotel (rooms)</t>
  </si>
  <si>
    <t>Structured Parking (spaces)</t>
  </si>
  <si>
    <t>Retail (units)</t>
  </si>
  <si>
    <t>Project Buildout by Area (RSF)</t>
  </si>
  <si>
    <t>Average Retail Unit Size</t>
  </si>
  <si>
    <t>Retail Units</t>
  </si>
  <si>
    <t>Unit TDC</t>
  </si>
  <si>
    <t>Unit Hard Cost</t>
  </si>
  <si>
    <t>TDC</t>
  </si>
  <si>
    <t>Public Subsidies (total)</t>
  </si>
  <si>
    <t>Developer Equity</t>
  </si>
  <si>
    <t>Opportunity Zone Fund Equity</t>
  </si>
  <si>
    <t>Average Room Size</t>
  </si>
  <si>
    <t>Check --&gt;</t>
  </si>
  <si>
    <t>Millage Rate</t>
  </si>
  <si>
    <t>Minimum DSCR</t>
  </si>
  <si>
    <t>School Percentage</t>
  </si>
  <si>
    <t>TIID SMART Plan</t>
  </si>
  <si>
    <t>Tax Adjusted Capitalization Rate</t>
  </si>
  <si>
    <t>Actual Effective Tax Rate</t>
  </si>
  <si>
    <t>Exit Capitalization Rate</t>
  </si>
  <si>
    <t>Construction Completion Date</t>
  </si>
  <si>
    <t>Project Value at Completion</t>
  </si>
  <si>
    <t>TIF Year</t>
  </si>
  <si>
    <t>Starting Value</t>
  </si>
  <si>
    <t>Project Value</t>
  </si>
  <si>
    <t>Assessed Value</t>
  </si>
  <si>
    <t>Incremental Taxes</t>
  </si>
  <si>
    <t>Existing Taxes</t>
  </si>
  <si>
    <t>Total PILOT and Taxes</t>
  </si>
  <si>
    <t>Available for Debt Service</t>
  </si>
  <si>
    <t>Maximum Projected Debt Service</t>
  </si>
  <si>
    <t>3BR</t>
  </si>
  <si>
    <t xml:space="preserve">   3BR</t>
  </si>
  <si>
    <t xml:space="preserve">     3BR</t>
  </si>
  <si>
    <t>Increase Every (Year)</t>
  </si>
  <si>
    <t>Tax Assessment Rate</t>
  </si>
  <si>
    <t>Minimum Debt Service</t>
  </si>
  <si>
    <t>Maximum Loan Size</t>
  </si>
  <si>
    <t>TIID SMART Plan Loan</t>
  </si>
  <si>
    <t>Real Estate Taxes</t>
  </si>
  <si>
    <t>Infrastructure Budget</t>
  </si>
  <si>
    <t>Miami Forever Bond</t>
  </si>
  <si>
    <t>Public Plaza</t>
  </si>
  <si>
    <t>Cost/SF</t>
  </si>
  <si>
    <t>Plaza 2</t>
  </si>
  <si>
    <t>Plaza 3</t>
  </si>
  <si>
    <t>Plaza 4</t>
  </si>
  <si>
    <t>Plaza 5</t>
  </si>
  <si>
    <t>Plaza 6</t>
  </si>
  <si>
    <t>Total SF</t>
  </si>
  <si>
    <t>Total Cost</t>
  </si>
  <si>
    <t>Phase I ($)</t>
  </si>
  <si>
    <t>Phase II ($)</t>
  </si>
  <si>
    <t>Plaza 1</t>
  </si>
  <si>
    <t>Infrastructure Total</t>
  </si>
  <si>
    <t>Plaza 7</t>
  </si>
  <si>
    <t>Solar Panels</t>
  </si>
  <si>
    <t>Storm Water Cisterns</t>
  </si>
  <si>
    <t>Parking Structure</t>
  </si>
  <si>
    <t>Cost/Space</t>
  </si>
  <si>
    <t>Spaces</t>
  </si>
  <si>
    <t>Demo</t>
  </si>
  <si>
    <t>Total Spaces</t>
  </si>
  <si>
    <t>Piping, Gas Service, and Distribution</t>
  </si>
  <si>
    <t>Cost/DU</t>
  </si>
  <si>
    <t>DU</t>
  </si>
  <si>
    <r>
      <t>Market-Rate Rental</t>
    </r>
    <r>
      <rPr>
        <vertAlign val="superscript"/>
        <sz val="10"/>
        <rFont val="Arial"/>
        <family val="2"/>
      </rPr>
      <t>1</t>
    </r>
  </si>
  <si>
    <t>1. Parking NOI included in Market-Rate Rental and Affordable Rental NOI</t>
  </si>
  <si>
    <t>Street Grid Realignment</t>
  </si>
  <si>
    <t>Public Plazas</t>
  </si>
  <si>
    <t>Storm Water Retention</t>
  </si>
  <si>
    <r>
      <t>Affordable Rental Housing</t>
    </r>
    <r>
      <rPr>
        <vertAlign val="superscript"/>
        <sz val="10"/>
        <rFont val="Arial"/>
        <family val="2"/>
      </rPr>
      <t>1</t>
    </r>
  </si>
  <si>
    <t>Total Plaza Space</t>
  </si>
  <si>
    <t>Team Number 2019-331</t>
  </si>
  <si>
    <t>Hotel Cash Flow</t>
  </si>
  <si>
    <t>Commercial Cash Flow (Office, Biotech, etc.)</t>
  </si>
  <si>
    <t>Affordable Rental Cash Flow</t>
  </si>
  <si>
    <t>Market-Rate Rental Cash Flow</t>
  </si>
  <si>
    <t>Retail Cash Flow</t>
  </si>
  <si>
    <t>Project Information</t>
  </si>
  <si>
    <t>Phase I - Construction Start Date</t>
  </si>
  <si>
    <t>Phase I - Construction Period Years</t>
  </si>
  <si>
    <t>Phase I - Construction End</t>
  </si>
  <si>
    <t>Phase I - Stabilization Period (Years)</t>
  </si>
  <si>
    <t>Phase II - Construction Start Date</t>
  </si>
  <si>
    <t>Phase II - Construction Period Years</t>
  </si>
  <si>
    <t>Phase II - Construction End</t>
  </si>
  <si>
    <t>Phase II - Stabilization Period (Years)</t>
  </si>
  <si>
    <t>Project Timeline</t>
  </si>
  <si>
    <t>Area Matrix</t>
  </si>
  <si>
    <t>Development Summary</t>
  </si>
  <si>
    <t>Financial Summary</t>
  </si>
  <si>
    <t>Project Average FAR</t>
  </si>
  <si>
    <t>Development Cost</t>
  </si>
  <si>
    <t>Project Profit</t>
  </si>
  <si>
    <t>Levered IRR</t>
  </si>
  <si>
    <t>Stabilized Annual NOI</t>
  </si>
  <si>
    <t>Project Refinance/Sale</t>
  </si>
  <si>
    <t>Total Buildable SF</t>
  </si>
  <si>
    <t>Unlevered IRR</t>
  </si>
  <si>
    <t>T-6-24</t>
  </si>
  <si>
    <t>Parking</t>
  </si>
  <si>
    <t>Phase I - Unit Matrix</t>
  </si>
  <si>
    <t>Project Unit Matrix</t>
  </si>
  <si>
    <t>Phase II - Unit Matrix</t>
  </si>
  <si>
    <t>Total Project Uses</t>
  </si>
  <si>
    <t>Multifamily Key Assumptions</t>
  </si>
  <si>
    <t>% 2BR</t>
  </si>
  <si>
    <t>Commercial/Office Key Assumptions</t>
  </si>
  <si>
    <t>Market-Rate Rent Studio</t>
  </si>
  <si>
    <t>Market-Rate Rent 1BR</t>
  </si>
  <si>
    <t>Market-Rate Rent 2BR</t>
  </si>
  <si>
    <t>Affordable Rent 2BR</t>
  </si>
  <si>
    <t>Affordable Rent 3BR</t>
  </si>
  <si>
    <t>Retail Key Assumptions</t>
  </si>
  <si>
    <t>Hotel Key Assumptions</t>
  </si>
  <si>
    <t>Units</t>
  </si>
  <si>
    <t>Construction Financing</t>
  </si>
  <si>
    <t>Residential SF:</t>
  </si>
  <si>
    <t>Total Unit Count:</t>
  </si>
  <si>
    <t>Total Affordable Units:</t>
  </si>
  <si>
    <t>Total Market Rate Units:</t>
  </si>
  <si>
    <t>Office SF:</t>
  </si>
  <si>
    <t>Retail SF:</t>
  </si>
  <si>
    <t>Hotel SF:</t>
  </si>
  <si>
    <t>Parking Spaces:</t>
  </si>
  <si>
    <t>Highlights:</t>
  </si>
  <si>
    <t>Tenants:</t>
  </si>
  <si>
    <t>Green Aspect:</t>
  </si>
  <si>
    <t>Community Aspect:</t>
  </si>
  <si>
    <t>Resiliency Aspect:</t>
  </si>
  <si>
    <t>Opportunity Zone Funds:</t>
  </si>
  <si>
    <t>LIHTC Equity:</t>
  </si>
  <si>
    <t>Miami Forever Bond:</t>
  </si>
  <si>
    <t>TIID SMART Plan:</t>
  </si>
  <si>
    <t>Phase II - Building SF</t>
  </si>
  <si>
    <t>Phase I - Building SF</t>
  </si>
  <si>
    <t>Total Hard Costs:</t>
  </si>
  <si>
    <t>Total Building SF</t>
  </si>
  <si>
    <t>Total Net Rentable SF</t>
  </si>
  <si>
    <t>FLOOR</t>
  </si>
  <si>
    <t>BLDG 1</t>
  </si>
  <si>
    <t>BLDG 2</t>
  </si>
  <si>
    <t>BLDG 3</t>
  </si>
  <si>
    <t>BLDG 4 (L)</t>
  </si>
  <si>
    <t>BLDG 4.5</t>
  </si>
  <si>
    <t>BLDG 5(AG)</t>
  </si>
  <si>
    <t>BLDG 5 (M)</t>
  </si>
  <si>
    <t>Open Space/Plaza</t>
  </si>
  <si>
    <t>BLDG 4</t>
  </si>
  <si>
    <t>BLDG 5</t>
  </si>
  <si>
    <t xml:space="preserve">Efficiency </t>
  </si>
  <si>
    <t>Residential SF</t>
  </si>
  <si>
    <t>Total Unit Count</t>
  </si>
  <si>
    <t>Total Affordable Units</t>
  </si>
  <si>
    <t xml:space="preserve">Total Market Rate Units </t>
  </si>
  <si>
    <t>Office SF</t>
  </si>
  <si>
    <t>Retail SF</t>
  </si>
  <si>
    <t>Hotel SF</t>
  </si>
  <si>
    <t>Open Space SF</t>
  </si>
  <si>
    <t xml:space="preserve">Parking Spaces </t>
  </si>
  <si>
    <t xml:space="preserve">Highlights </t>
  </si>
  <si>
    <t>Tenants</t>
  </si>
  <si>
    <t xml:space="preserve">Green Aspect </t>
  </si>
  <si>
    <t xml:space="preserve">Community Aspect </t>
  </si>
  <si>
    <t xml:space="preserve">Resiliency Aspect </t>
  </si>
  <si>
    <t>Total Construction Cost</t>
  </si>
  <si>
    <t xml:space="preserve">Total Equity </t>
  </si>
  <si>
    <t xml:space="preserve">Opportunity Zone Funding </t>
  </si>
  <si>
    <t>TID SMART Plan</t>
  </si>
  <si>
    <t xml:space="preserve">Miami Forever Bond </t>
  </si>
  <si>
    <t xml:space="preserve">Equity Multiple </t>
  </si>
  <si>
    <t>Total Phase II</t>
  </si>
  <si>
    <t>Total Development SF</t>
  </si>
  <si>
    <t>&lt;--Check</t>
  </si>
  <si>
    <t>Civic</t>
  </si>
  <si>
    <t>Use</t>
  </si>
  <si>
    <t>Contingency</t>
  </si>
  <si>
    <t>Developer Fee</t>
  </si>
  <si>
    <t>Interest Reserve and Financing Costs</t>
  </si>
  <si>
    <t>Interest Rate 1mL plus 550</t>
  </si>
  <si>
    <t>Resi 1</t>
  </si>
  <si>
    <t>Tech</t>
  </si>
  <si>
    <t>Resi Bridge</t>
  </si>
  <si>
    <t>Food Hall</t>
  </si>
  <si>
    <t>Museum</t>
  </si>
  <si>
    <t>Train Station</t>
  </si>
  <si>
    <t>Resi</t>
  </si>
  <si>
    <t>Industrial</t>
  </si>
  <si>
    <t>Park</t>
  </si>
  <si>
    <t>Restaurant Way</t>
  </si>
  <si>
    <t>Playground</t>
  </si>
  <si>
    <t>Sculpture Garden</t>
  </si>
  <si>
    <t>Pedestrian Bridge</t>
  </si>
  <si>
    <t>Recessed Plaza</t>
  </si>
  <si>
    <t xml:space="preserve">Food Truck </t>
  </si>
  <si>
    <t>Floors</t>
  </si>
  <si>
    <t>Percent of Phase</t>
  </si>
  <si>
    <t>Phase I Plaza</t>
  </si>
  <si>
    <t xml:space="preserve">PhaseII Plaza </t>
  </si>
  <si>
    <t>Total Buildings</t>
  </si>
  <si>
    <t xml:space="preserve">Total Plaza </t>
  </si>
  <si>
    <t>Total Plaza</t>
  </si>
  <si>
    <t>Total Development</t>
  </si>
  <si>
    <t>Phase I - Refinance Cap Rate</t>
  </si>
  <si>
    <t>Phase II - Refinance Cap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</si>
</sst>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_);_(@_)"/>
    <numFmt numFmtId="166" formatCode="_(&quot;$&quot;* #,##0_);_(&quot;$&quot;* \(#,##0\);_(&quot;$&quot;* &quot;-&quot;??_);_(@_)"/>
    <numFmt numFmtId="167" formatCode="_(* #,##0_);_(* \(#,##0\);_(* &quot;-&quot;??_);_(@_)\ &quot;sf&quot;"/>
    <numFmt numFmtId="168" formatCode="0\ &quot;years&quot;"/>
    <numFmt numFmtId="169" formatCode="&quot;$&quot;#,##0_);\(&quot;$&quot;#,##0\);\–_);&quot;–&quot;_)"/>
    <numFmt numFmtId="170" formatCode="#,##0_);\(#,##0\);\–_);&quot;–&quot;_)"/>
    <numFmt numFmtId="171" formatCode="0.0"/>
    <numFmt numFmtId="172" formatCode="0.0%_);\(0.0%\);&quot;–&quot;_)"/>
    <numFmt numFmtId="173" formatCode="0.0%"/>
    <numFmt numFmtId="174" formatCode="#,##0.0_);\(#,##0.0\);\–_);&quot;–&quot;_)"/>
    <numFmt numFmtId="175" formatCode="0%_);\(0%\);&quot;–&quot;_)"/>
    <numFmt numFmtId="176" formatCode="0.0\x_);\(0.0\x\);&quot;–&quot;_)"/>
    <numFmt numFmtId="177" formatCode="General\ &quot;months&quot;"/>
    <numFmt numFmtId="178" formatCode="General\ &quot;years&quot;"/>
    <numFmt numFmtId="179" formatCode="&quot;Month&quot;\ 0"/>
    <numFmt numFmtId="180" formatCode="&quot;Year&quot;\ 0"/>
    <numFmt numFmtId="181" formatCode="0.00\x"/>
    <numFmt numFmtId="182" formatCode="&quot;$&quot;#,##0.0_);[Red]\(&quot;$&quot;#,##0.0\)"/>
    <numFmt numFmtId="183" formatCode="0%\ &quot;of EGI&quot;"/>
    <numFmt numFmtId="184" formatCode="&quot;Year&quot;\ General"/>
    <numFmt numFmtId="185" formatCode="&quot;$&quot;#,##0"/>
    <numFmt numFmtId="186" formatCode="&quot;$&quot;#,##0.00"/>
    <numFmt numFmtId="187" formatCode="General\ &quot;sf&quot;"/>
    <numFmt numFmtId="188" formatCode="&quot;$&quot;#,##0&quot;/unit&quot;"/>
    <numFmt numFmtId="189" formatCode="&quot;$&quot;#,##0&quot;/gsf&quot;"/>
    <numFmt numFmtId="190" formatCode="&quot;$&quot;#,##0&quot;/key&quot;"/>
    <numFmt numFmtId="191" formatCode="0&quot; years&quot;"/>
    <numFmt numFmtId="192" formatCode="0.00&quot;x&quot;"/>
    <numFmt numFmtId="193" formatCode="#,##0_);\(#,##0\)\ &quot;sf&quot;"/>
    <numFmt numFmtId="194" formatCode="0%\ &quot;of market rate&quot;"/>
    <numFmt numFmtId="195" formatCode="#,##0\ &quot;sf&quot;"/>
    <numFmt numFmtId="196" formatCode="&quot;Building&quot;\ 0"/>
  </numFmts>
  <fonts count="6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rgb="FF0070C0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8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rgb="FF008000"/>
      <name val="Calibri"/>
      <family val="2"/>
      <scheme val="minor"/>
    </font>
    <font>
      <sz val="11"/>
      <color theme="4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8"/>
      <name val="游ゴシック"/>
      <family val="3"/>
      <charset val="128"/>
    </font>
    <font>
      <b/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4"/>
      <color theme="0"/>
      <name val="Arial"/>
      <family val="2"/>
    </font>
    <font>
      <sz val="14"/>
      <name val="Arial"/>
      <family val="2"/>
    </font>
    <font>
      <sz val="11"/>
      <color theme="1"/>
      <name val="Helvetica Narrow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rgb="FF002060"/>
      <name val="Arial"/>
      <family val="2"/>
    </font>
    <font>
      <sz val="12"/>
      <name val="Arial"/>
      <family val="2"/>
    </font>
    <font>
      <sz val="12"/>
      <color rgb="FF0000FF"/>
      <name val="Arial"/>
      <family val="2"/>
    </font>
    <font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vertAlign val="superscript"/>
      <sz val="10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sz val="10"/>
      <color rgb="FF000000"/>
      <name val="Arial"/>
      <family val="2"/>
    </font>
    <font>
      <u/>
      <sz val="10"/>
      <color theme="1"/>
      <name val="Arial"/>
      <family val="2"/>
    </font>
    <font>
      <u/>
      <sz val="10"/>
      <color rgb="FF002060"/>
      <name val="Arial"/>
      <family val="2"/>
    </font>
    <font>
      <u/>
      <sz val="10"/>
      <color rgb="FFFFC000"/>
      <name val="Arial"/>
      <family val="2"/>
    </font>
    <font>
      <b/>
      <sz val="10"/>
      <color theme="1"/>
      <name val="Arial"/>
      <family val="2"/>
    </font>
    <font>
      <sz val="10"/>
      <color rgb="FF333333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2"/>
      <color rgb="FF0000FF"/>
      <name val="Calibri"/>
      <family val="2"/>
      <scheme val="minor"/>
    </font>
    <font>
      <sz val="11"/>
      <color rgb="FF0000FF"/>
      <name val="Helvetica Narrow"/>
      <family val="2"/>
    </font>
    <font>
      <i/>
      <sz val="11"/>
      <color theme="2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7EFD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</borders>
  <cellStyleXfs count="14">
    <xf numFmtId="0" fontId="0" fillId="0" borderId="0"/>
    <xf numFmtId="0" fontId="8" fillId="0" borderId="0"/>
    <xf numFmtId="43" fontId="1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769">
    <xf numFmtId="0" fontId="0" fillId="0" borderId="0" xfId="0"/>
    <xf numFmtId="0" fontId="8" fillId="0" borderId="0" xfId="0" applyFont="1"/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0" borderId="2" xfId="0" applyFont="1" applyBorder="1"/>
    <xf numFmtId="0" fontId="16" fillId="0" borderId="0" xfId="0" applyFont="1"/>
    <xf numFmtId="169" fontId="0" fillId="0" borderId="0" xfId="0" applyNumberFormat="1"/>
    <xf numFmtId="6" fontId="0" fillId="0" borderId="0" xfId="0" applyNumberFormat="1"/>
    <xf numFmtId="0" fontId="15" fillId="0" borderId="8" xfId="0" applyFont="1" applyBorder="1"/>
    <xf numFmtId="0" fontId="15" fillId="0" borderId="0" xfId="0" applyFont="1"/>
    <xf numFmtId="0" fontId="15" fillId="4" borderId="7" xfId="0" applyFont="1" applyFill="1" applyBorder="1"/>
    <xf numFmtId="0" fontId="0" fillId="4" borderId="7" xfId="0" applyFill="1" applyBorder="1"/>
    <xf numFmtId="172" fontId="0" fillId="0" borderId="0" xfId="0" applyNumberFormat="1"/>
    <xf numFmtId="14" fontId="0" fillId="0" borderId="0" xfId="0" applyNumberFormat="1"/>
    <xf numFmtId="0" fontId="15" fillId="0" borderId="9" xfId="0" applyFont="1" applyBorder="1"/>
    <xf numFmtId="0" fontId="15" fillId="0" borderId="10" xfId="0" applyFont="1" applyBorder="1"/>
    <xf numFmtId="0" fontId="17" fillId="0" borderId="0" xfId="0" applyFont="1" applyAlignment="1">
      <alignment horizontal="center"/>
    </xf>
    <xf numFmtId="175" fontId="0" fillId="0" borderId="0" xfId="0" applyNumberFormat="1" applyAlignment="1">
      <alignment horizontal="center"/>
    </xf>
    <xf numFmtId="175" fontId="0" fillId="0" borderId="0" xfId="0" applyNumberFormat="1"/>
    <xf numFmtId="169" fontId="0" fillId="0" borderId="0" xfId="0" applyNumberFormat="1" applyAlignment="1">
      <alignment horizontal="center"/>
    </xf>
    <xf numFmtId="169" fontId="0" fillId="0" borderId="8" xfId="0" applyNumberFormat="1" applyBorder="1"/>
    <xf numFmtId="0" fontId="0" fillId="0" borderId="0" xfId="0" applyAlignment="1">
      <alignment horizontal="left" indent="2"/>
    </xf>
    <xf numFmtId="0" fontId="15" fillId="0" borderId="0" xfId="0" applyFont="1" applyAlignment="1">
      <alignment horizontal="left"/>
    </xf>
    <xf numFmtId="169" fontId="15" fillId="0" borderId="0" xfId="0" applyNumberFormat="1" applyFont="1"/>
    <xf numFmtId="0" fontId="15" fillId="6" borderId="12" xfId="0" applyFont="1" applyFill="1" applyBorder="1"/>
    <xf numFmtId="0" fontId="15" fillId="6" borderId="13" xfId="0" applyFont="1" applyFill="1" applyBorder="1"/>
    <xf numFmtId="172" fontId="15" fillId="6" borderId="14" xfId="0" applyNumberFormat="1" applyFont="1" applyFill="1" applyBorder="1" applyAlignment="1">
      <alignment horizontal="center"/>
    </xf>
    <xf numFmtId="0" fontId="15" fillId="6" borderId="15" xfId="0" applyFont="1" applyFill="1" applyBorder="1"/>
    <xf numFmtId="0" fontId="15" fillId="6" borderId="6" xfId="0" applyFont="1" applyFill="1" applyBorder="1"/>
    <xf numFmtId="176" fontId="15" fillId="6" borderId="16" xfId="0" applyNumberFormat="1" applyFont="1" applyFill="1" applyBorder="1" applyAlignment="1">
      <alignment horizontal="center"/>
    </xf>
    <xf numFmtId="0" fontId="0" fillId="5" borderId="0" xfId="0" applyFill="1"/>
    <xf numFmtId="164" fontId="0" fillId="0" borderId="0" xfId="2" applyNumberFormat="1" applyFont="1"/>
    <xf numFmtId="10" fontId="13" fillId="0" borderId="0" xfId="0" applyNumberFormat="1" applyFont="1"/>
    <xf numFmtId="168" fontId="13" fillId="0" borderId="0" xfId="0" applyNumberFormat="1" applyFont="1"/>
    <xf numFmtId="14" fontId="13" fillId="0" borderId="0" xfId="0" applyNumberFormat="1" applyFont="1"/>
    <xf numFmtId="9" fontId="13" fillId="0" borderId="0" xfId="0" applyNumberFormat="1" applyFont="1"/>
    <xf numFmtId="0" fontId="8" fillId="4" borderId="7" xfId="0" applyFont="1" applyFill="1" applyBorder="1" applyAlignment="1">
      <alignment horizontal="center"/>
    </xf>
    <xf numFmtId="0" fontId="13" fillId="0" borderId="0" xfId="0" applyFont="1" applyFill="1"/>
    <xf numFmtId="0" fontId="0" fillId="0" borderId="2" xfId="0" applyBorder="1"/>
    <xf numFmtId="9" fontId="8" fillId="0" borderId="2" xfId="0" applyNumberFormat="1" applyFont="1" applyBorder="1"/>
    <xf numFmtId="0" fontId="18" fillId="5" borderId="7" xfId="0" applyFont="1" applyFill="1" applyBorder="1"/>
    <xf numFmtId="0" fontId="18" fillId="5" borderId="7" xfId="0" applyFont="1" applyFill="1" applyBorder="1" applyAlignment="1">
      <alignment horizontal="center"/>
    </xf>
    <xf numFmtId="172" fontId="0" fillId="0" borderId="0" xfId="0" applyNumberFormat="1" applyAlignment="1">
      <alignment horizontal="center"/>
    </xf>
    <xf numFmtId="5" fontId="0" fillId="0" borderId="0" xfId="0" applyNumberFormat="1" applyAlignment="1">
      <alignment horizontal="center"/>
    </xf>
    <xf numFmtId="169" fontId="15" fillId="0" borderId="8" xfId="0" applyNumberFormat="1" applyFont="1" applyBorder="1" applyAlignment="1">
      <alignment horizontal="center"/>
    </xf>
    <xf numFmtId="5" fontId="15" fillId="0" borderId="8" xfId="0" applyNumberFormat="1" applyFont="1" applyBorder="1" applyAlignment="1">
      <alignment horizontal="center"/>
    </xf>
    <xf numFmtId="170" fontId="12" fillId="0" borderId="0" xfId="0" applyNumberFormat="1" applyFont="1" applyFill="1"/>
    <xf numFmtId="6" fontId="0" fillId="0" borderId="0" xfId="2" applyNumberFormat="1" applyFont="1" applyAlignment="1">
      <alignment horizontal="center"/>
    </xf>
    <xf numFmtId="0" fontId="0" fillId="4" borderId="7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14" fillId="0" borderId="0" xfId="0" applyFont="1"/>
    <xf numFmtId="177" fontId="14" fillId="0" borderId="0" xfId="0" applyNumberFormat="1" applyFont="1" applyAlignment="1">
      <alignment horizontal="center"/>
    </xf>
    <xf numFmtId="169" fontId="0" fillId="0" borderId="2" xfId="0" applyNumberFormat="1" applyBorder="1" applyAlignment="1">
      <alignment horizontal="center"/>
    </xf>
    <xf numFmtId="169" fontId="0" fillId="0" borderId="2" xfId="0" applyNumberFormat="1" applyBorder="1"/>
    <xf numFmtId="5" fontId="0" fillId="0" borderId="0" xfId="0" applyNumberFormat="1"/>
    <xf numFmtId="0" fontId="8" fillId="0" borderId="0" xfId="0" applyFont="1" applyAlignment="1">
      <alignment horizontal="right"/>
    </xf>
    <xf numFmtId="6" fontId="0" fillId="0" borderId="2" xfId="0" applyNumberFormat="1" applyBorder="1"/>
    <xf numFmtId="0" fontId="21" fillId="0" borderId="0" xfId="6"/>
    <xf numFmtId="0" fontId="22" fillId="8" borderId="0" xfId="6" applyFont="1" applyFill="1"/>
    <xf numFmtId="0" fontId="24" fillId="0" borderId="0" xfId="6" applyFont="1"/>
    <xf numFmtId="6" fontId="21" fillId="0" borderId="0" xfId="6" applyNumberFormat="1"/>
    <xf numFmtId="9" fontId="23" fillId="0" borderId="0" xfId="6" applyNumberFormat="1" applyFont="1"/>
    <xf numFmtId="164" fontId="23" fillId="0" borderId="0" xfId="7" applyNumberFormat="1" applyFont="1"/>
    <xf numFmtId="0" fontId="22" fillId="0" borderId="0" xfId="6" applyFont="1"/>
    <xf numFmtId="8" fontId="21" fillId="0" borderId="0" xfId="6" applyNumberFormat="1"/>
    <xf numFmtId="43" fontId="23" fillId="0" borderId="0" xfId="7" applyFont="1"/>
    <xf numFmtId="6" fontId="23" fillId="0" borderId="0" xfId="6" applyNumberFormat="1" applyFont="1"/>
    <xf numFmtId="43" fontId="0" fillId="0" borderId="0" xfId="7" applyFont="1"/>
    <xf numFmtId="9" fontId="21" fillId="0" borderId="0" xfId="6" applyNumberFormat="1"/>
    <xf numFmtId="0" fontId="21" fillId="0" borderId="1" xfId="6" applyBorder="1"/>
    <xf numFmtId="9" fontId="25" fillId="0" borderId="1" xfId="6" applyNumberFormat="1" applyFont="1" applyBorder="1"/>
    <xf numFmtId="6" fontId="21" fillId="0" borderId="1" xfId="6" applyNumberFormat="1" applyBorder="1"/>
    <xf numFmtId="10" fontId="23" fillId="0" borderId="0" xfId="6" applyNumberFormat="1" applyFont="1"/>
    <xf numFmtId="6" fontId="25" fillId="0" borderId="0" xfId="6" applyNumberFormat="1" applyFont="1"/>
    <xf numFmtId="179" fontId="22" fillId="8" borderId="0" xfId="6" applyNumberFormat="1" applyFont="1" applyFill="1" applyAlignment="1">
      <alignment horizontal="center"/>
    </xf>
    <xf numFmtId="0" fontId="21" fillId="0" borderId="2" xfId="6" applyBorder="1"/>
    <xf numFmtId="6" fontId="21" fillId="0" borderId="2" xfId="6" applyNumberFormat="1" applyBorder="1"/>
    <xf numFmtId="180" fontId="22" fillId="8" borderId="0" xfId="6" applyNumberFormat="1" applyFont="1" applyFill="1" applyAlignment="1">
      <alignment horizontal="center"/>
    </xf>
    <xf numFmtId="0" fontId="26" fillId="0" borderId="0" xfId="6" applyFont="1"/>
    <xf numFmtId="9" fontId="26" fillId="0" borderId="0" xfId="6" applyNumberFormat="1" applyFont="1" applyAlignment="1">
      <alignment horizontal="center"/>
    </xf>
    <xf numFmtId="0" fontId="21" fillId="0" borderId="17" xfId="6" applyBorder="1"/>
    <xf numFmtId="0" fontId="21" fillId="0" borderId="18" xfId="6" applyBorder="1"/>
    <xf numFmtId="6" fontId="21" fillId="0" borderId="19" xfId="6" applyNumberFormat="1" applyBorder="1"/>
    <xf numFmtId="0" fontId="21" fillId="0" borderId="20" xfId="6" applyBorder="1"/>
    <xf numFmtId="8" fontId="21" fillId="0" borderId="21" xfId="6" applyNumberFormat="1" applyBorder="1"/>
    <xf numFmtId="10" fontId="21" fillId="0" borderId="21" xfId="6" applyNumberFormat="1" applyBorder="1"/>
    <xf numFmtId="0" fontId="21" fillId="0" borderId="22" xfId="6" applyBorder="1"/>
    <xf numFmtId="0" fontId="21" fillId="0" borderId="23" xfId="6" applyBorder="1"/>
    <xf numFmtId="181" fontId="21" fillId="0" borderId="24" xfId="6" applyNumberFormat="1" applyBorder="1"/>
    <xf numFmtId="173" fontId="21" fillId="0" borderId="21" xfId="6" applyNumberFormat="1" applyBorder="1"/>
    <xf numFmtId="10" fontId="21" fillId="0" borderId="0" xfId="6" applyNumberFormat="1"/>
    <xf numFmtId="0" fontId="0" fillId="0" borderId="0" xfId="0" applyBorder="1"/>
    <xf numFmtId="6" fontId="8" fillId="0" borderId="0" xfId="0" applyNumberFormat="1" applyFont="1"/>
    <xf numFmtId="0" fontId="15" fillId="0" borderId="0" xfId="0" applyFont="1" applyFill="1" applyBorder="1"/>
    <xf numFmtId="0" fontId="8" fillId="0" borderId="0" xfId="0" applyFont="1" applyFill="1" applyBorder="1"/>
    <xf numFmtId="0" fontId="0" fillId="0" borderId="0" xfId="0" applyFill="1" applyBorder="1"/>
    <xf numFmtId="6" fontId="8" fillId="0" borderId="0" xfId="0" applyNumberFormat="1" applyFont="1" applyFill="1" applyBorder="1"/>
    <xf numFmtId="6" fontId="0" fillId="0" borderId="0" xfId="0" applyNumberFormat="1" applyFill="1" applyBorder="1"/>
    <xf numFmtId="164" fontId="25" fillId="0" borderId="0" xfId="7" applyNumberFormat="1" applyFont="1"/>
    <xf numFmtId="0" fontId="21" fillId="9" borderId="0" xfId="6" applyFill="1"/>
    <xf numFmtId="6" fontId="21" fillId="9" borderId="0" xfId="6" applyNumberFormat="1" applyFill="1"/>
    <xf numFmtId="0" fontId="6" fillId="0" borderId="0" xfId="8"/>
    <xf numFmtId="0" fontId="6" fillId="0" borderId="0" xfId="8" applyAlignment="1">
      <alignment horizontal="center"/>
    </xf>
    <xf numFmtId="0" fontId="20" fillId="8" borderId="0" xfId="8" applyFont="1" applyFill="1"/>
    <xf numFmtId="0" fontId="20" fillId="0" borderId="0" xfId="8" applyFont="1"/>
    <xf numFmtId="0" fontId="20" fillId="8" borderId="0" xfId="8" applyFont="1" applyFill="1" applyAlignment="1">
      <alignment horizontal="center"/>
    </xf>
    <xf numFmtId="6" fontId="6" fillId="0" borderId="0" xfId="8" applyNumberFormat="1"/>
    <xf numFmtId="8" fontId="6" fillId="0" borderId="0" xfId="8" applyNumberFormat="1" applyAlignment="1">
      <alignment horizontal="center"/>
    </xf>
    <xf numFmtId="0" fontId="6" fillId="0" borderId="0" xfId="8" applyAlignment="1">
      <alignment horizontal="left"/>
    </xf>
    <xf numFmtId="0" fontId="27" fillId="0" borderId="0" xfId="8" applyFont="1" applyAlignment="1">
      <alignment horizontal="left"/>
    </xf>
    <xf numFmtId="0" fontId="6" fillId="0" borderId="2" xfId="8" applyBorder="1"/>
    <xf numFmtId="6" fontId="6" fillId="0" borderId="2" xfId="8" applyNumberFormat="1" applyBorder="1"/>
    <xf numFmtId="0" fontId="6" fillId="0" borderId="2" xfId="8" applyBorder="1" applyAlignment="1">
      <alignment horizontal="center"/>
    </xf>
    <xf numFmtId="0" fontId="6" fillId="0" borderId="2" xfId="8" applyBorder="1" applyAlignment="1">
      <alignment horizontal="left"/>
    </xf>
    <xf numFmtId="0" fontId="19" fillId="0" borderId="0" xfId="8" applyFont="1"/>
    <xf numFmtId="0" fontId="29" fillId="0" borderId="0" xfId="8" applyFont="1"/>
    <xf numFmtId="9" fontId="28" fillId="0" borderId="0" xfId="8" applyNumberFormat="1" applyFont="1"/>
    <xf numFmtId="0" fontId="27" fillId="0" borderId="0" xfId="8" applyFont="1"/>
    <xf numFmtId="180" fontId="20" fillId="8" borderId="0" xfId="8" applyNumberFormat="1" applyFont="1" applyFill="1" applyAlignment="1">
      <alignment horizontal="center"/>
    </xf>
    <xf numFmtId="9" fontId="6" fillId="0" borderId="0" xfId="8" applyNumberFormat="1" applyAlignment="1">
      <alignment horizontal="center"/>
    </xf>
    <xf numFmtId="8" fontId="6" fillId="0" borderId="0" xfId="8" applyNumberFormat="1"/>
    <xf numFmtId="0" fontId="6" fillId="0" borderId="17" xfId="8" applyBorder="1"/>
    <xf numFmtId="0" fontId="6" fillId="0" borderId="18" xfId="8" applyBorder="1"/>
    <xf numFmtId="6" fontId="6" fillId="0" borderId="19" xfId="8" applyNumberFormat="1" applyBorder="1"/>
    <xf numFmtId="0" fontId="6" fillId="0" borderId="20" xfId="8" applyBorder="1"/>
    <xf numFmtId="6" fontId="6" fillId="0" borderId="21" xfId="8" applyNumberFormat="1" applyBorder="1"/>
    <xf numFmtId="173" fontId="6" fillId="0" borderId="21" xfId="8" applyNumberFormat="1" applyBorder="1"/>
    <xf numFmtId="0" fontId="6" fillId="0" borderId="22" xfId="8" applyBorder="1"/>
    <xf numFmtId="0" fontId="6" fillId="0" borderId="23" xfId="8" applyBorder="1"/>
    <xf numFmtId="181" fontId="6" fillId="0" borderId="24" xfId="8" applyNumberFormat="1" applyBorder="1"/>
    <xf numFmtId="10" fontId="6" fillId="0" borderId="21" xfId="8" applyNumberFormat="1" applyBorder="1"/>
    <xf numFmtId="0" fontId="12" fillId="8" borderId="0" xfId="8" applyFont="1" applyFill="1"/>
    <xf numFmtId="10" fontId="20" fillId="0" borderId="0" xfId="8" applyNumberFormat="1" applyFont="1"/>
    <xf numFmtId="10" fontId="6" fillId="0" borderId="0" xfId="8" applyNumberFormat="1"/>
    <xf numFmtId="10" fontId="6" fillId="0" borderId="3" xfId="8" applyNumberFormat="1" applyBorder="1" applyAlignment="1">
      <alignment horizontal="center"/>
    </xf>
    <xf numFmtId="10" fontId="6" fillId="0" borderId="2" xfId="8" applyNumberFormat="1" applyBorder="1" applyAlignment="1">
      <alignment horizontal="center"/>
    </xf>
    <xf numFmtId="10" fontId="6" fillId="0" borderId="31" xfId="8" applyNumberFormat="1" applyBorder="1" applyAlignment="1">
      <alignment horizontal="center"/>
    </xf>
    <xf numFmtId="10" fontId="6" fillId="0" borderId="32" xfId="8" applyNumberFormat="1" applyBorder="1" applyAlignment="1">
      <alignment horizontal="center"/>
    </xf>
    <xf numFmtId="10" fontId="6" fillId="0" borderId="33" xfId="8" applyNumberFormat="1" applyBorder="1" applyAlignment="1">
      <alignment horizontal="center"/>
    </xf>
    <xf numFmtId="10" fontId="6" fillId="0" borderId="34" xfId="8" applyNumberFormat="1" applyBorder="1" applyAlignment="1">
      <alignment horizontal="center"/>
    </xf>
    <xf numFmtId="10" fontId="6" fillId="0" borderId="35" xfId="8" applyNumberFormat="1" applyBorder="1" applyAlignment="1">
      <alignment horizontal="center"/>
    </xf>
    <xf numFmtId="10" fontId="6" fillId="0" borderId="1" xfId="8" applyNumberFormat="1" applyBorder="1" applyAlignment="1">
      <alignment horizontal="center"/>
    </xf>
    <xf numFmtId="10" fontId="6" fillId="0" borderId="4" xfId="8" applyNumberFormat="1" applyBorder="1" applyAlignment="1">
      <alignment horizontal="center"/>
    </xf>
    <xf numFmtId="164" fontId="12" fillId="0" borderId="0" xfId="9" applyNumberFormat="1" applyFont="1"/>
    <xf numFmtId="173" fontId="28" fillId="3" borderId="0" xfId="8" applyNumberFormat="1" applyFont="1" applyFill="1"/>
    <xf numFmtId="164" fontId="28" fillId="0" borderId="0" xfId="9" applyNumberFormat="1" applyFont="1" applyFill="1"/>
    <xf numFmtId="6" fontId="6" fillId="0" borderId="0" xfId="8" applyNumberFormat="1" applyFill="1"/>
    <xf numFmtId="164" fontId="12" fillId="0" borderId="0" xfId="8" applyNumberFormat="1" applyFont="1"/>
    <xf numFmtId="0" fontId="6" fillId="0" borderId="0" xfId="8" applyBorder="1"/>
    <xf numFmtId="164" fontId="6" fillId="0" borderId="0" xfId="8" applyNumberFormat="1"/>
    <xf numFmtId="9" fontId="6" fillId="0" borderId="0" xfId="8" applyNumberFormat="1"/>
    <xf numFmtId="164" fontId="6" fillId="0" borderId="0" xfId="2" applyNumberFormat="1" applyFont="1"/>
    <xf numFmtId="6" fontId="13" fillId="3" borderId="0" xfId="8" applyNumberFormat="1" applyFont="1" applyFill="1"/>
    <xf numFmtId="0" fontId="13" fillId="0" borderId="0" xfId="8" applyFont="1"/>
    <xf numFmtId="0" fontId="20" fillId="0" borderId="0" xfId="8" applyFont="1" applyFill="1" applyBorder="1"/>
    <xf numFmtId="0" fontId="6" fillId="0" borderId="0" xfId="8" applyFill="1" applyBorder="1"/>
    <xf numFmtId="6" fontId="6" fillId="0" borderId="0" xfId="8" applyNumberFormat="1" applyFill="1" applyBorder="1"/>
    <xf numFmtId="182" fontId="28" fillId="0" borderId="0" xfId="8" applyNumberFormat="1" applyFont="1" applyFill="1" applyBorder="1" applyAlignment="1">
      <alignment horizontal="center"/>
    </xf>
    <xf numFmtId="8" fontId="6" fillId="0" borderId="0" xfId="8" applyNumberFormat="1" applyFill="1" applyBorder="1" applyAlignment="1">
      <alignment horizontal="left"/>
    </xf>
    <xf numFmtId="37" fontId="30" fillId="10" borderId="0" xfId="0" applyNumberFormat="1" applyFont="1" applyFill="1" applyBorder="1" applyAlignment="1">
      <alignment vertical="center"/>
    </xf>
    <xf numFmtId="0" fontId="15" fillId="0" borderId="0" xfId="8" applyFont="1"/>
    <xf numFmtId="164" fontId="21" fillId="0" borderId="0" xfId="6" applyNumberFormat="1"/>
    <xf numFmtId="164" fontId="25" fillId="0" borderId="0" xfId="2" applyNumberFormat="1" applyFont="1"/>
    <xf numFmtId="0" fontId="6" fillId="0" borderId="0" xfId="8" applyAlignment="1">
      <alignment horizontal="center"/>
    </xf>
    <xf numFmtId="169" fontId="0" fillId="0" borderId="0" xfId="0" applyNumberFormat="1" applyBorder="1"/>
    <xf numFmtId="0" fontId="0" fillId="0" borderId="0" xfId="0" applyFill="1" applyAlignment="1">
      <alignment horizontal="left" indent="1"/>
    </xf>
    <xf numFmtId="0" fontId="0" fillId="0" borderId="0" xfId="0" applyFill="1"/>
    <xf numFmtId="169" fontId="0" fillId="0" borderId="0" xfId="0" applyNumberFormat="1" applyFill="1"/>
    <xf numFmtId="1" fontId="0" fillId="0" borderId="0" xfId="2" applyNumberFormat="1" applyFont="1" applyAlignment="1">
      <alignment horizontal="center"/>
    </xf>
    <xf numFmtId="169" fontId="0" fillId="0" borderId="0" xfId="0" applyNumberFormat="1" applyFill="1" applyBorder="1"/>
    <xf numFmtId="169" fontId="0" fillId="0" borderId="2" xfId="0" applyNumberFormat="1" applyFill="1" applyBorder="1"/>
    <xf numFmtId="0" fontId="31" fillId="8" borderId="6" xfId="0" applyFont="1" applyFill="1" applyBorder="1"/>
    <xf numFmtId="0" fontId="32" fillId="8" borderId="6" xfId="0" applyFont="1" applyFill="1" applyBorder="1"/>
    <xf numFmtId="0" fontId="32" fillId="8" borderId="6" xfId="0" applyFont="1" applyFill="1" applyBorder="1" applyAlignment="1">
      <alignment horizontal="center"/>
    </xf>
    <xf numFmtId="14" fontId="0" fillId="0" borderId="0" xfId="0" applyNumberFormat="1" applyBorder="1"/>
    <xf numFmtId="172" fontId="0" fillId="0" borderId="0" xfId="0" applyNumberFormat="1" applyBorder="1"/>
    <xf numFmtId="9" fontId="0" fillId="0" borderId="0" xfId="0" applyNumberFormat="1" applyBorder="1"/>
    <xf numFmtId="172" fontId="16" fillId="0" borderId="0" xfId="0" applyNumberFormat="1" applyFont="1" applyFill="1" applyBorder="1"/>
    <xf numFmtId="169" fontId="15" fillId="0" borderId="0" xfId="0" applyNumberFormat="1" applyFont="1" applyFill="1" applyBorder="1"/>
    <xf numFmtId="1" fontId="0" fillId="0" borderId="0" xfId="0" applyNumberFormat="1"/>
    <xf numFmtId="1" fontId="13" fillId="0" borderId="0" xfId="2" applyNumberFormat="1" applyFont="1" applyFill="1"/>
    <xf numFmtId="0" fontId="33" fillId="8" borderId="0" xfId="0" applyFont="1" applyFill="1"/>
    <xf numFmtId="0" fontId="32" fillId="8" borderId="0" xfId="0" applyFont="1" applyFill="1" applyAlignment="1">
      <alignment horizontal="center"/>
    </xf>
    <xf numFmtId="0" fontId="32" fillId="8" borderId="0" xfId="0" applyFont="1" applyFill="1"/>
    <xf numFmtId="6" fontId="0" fillId="0" borderId="0" xfId="0" applyNumberFormat="1" applyFill="1" applyAlignment="1">
      <alignment horizontal="center"/>
    </xf>
    <xf numFmtId="0" fontId="32" fillId="11" borderId="0" xfId="0" applyFont="1" applyFill="1" applyAlignment="1">
      <alignment horizontal="center"/>
    </xf>
    <xf numFmtId="0" fontId="32" fillId="11" borderId="0" xfId="0" applyFont="1" applyFill="1"/>
    <xf numFmtId="0" fontId="34" fillId="11" borderId="0" xfId="0" applyFont="1" applyFill="1"/>
    <xf numFmtId="0" fontId="8" fillId="11" borderId="0" xfId="0" applyFont="1" applyFill="1"/>
    <xf numFmtId="0" fontId="11" fillId="11" borderId="6" xfId="0" applyFont="1" applyFill="1" applyBorder="1"/>
    <xf numFmtId="0" fontId="8" fillId="11" borderId="6" xfId="0" applyFont="1" applyFill="1" applyBorder="1"/>
    <xf numFmtId="0" fontId="8" fillId="11" borderId="6" xfId="0" applyFont="1" applyFill="1" applyBorder="1" applyAlignment="1">
      <alignment horizontal="center"/>
    </xf>
    <xf numFmtId="0" fontId="8" fillId="11" borderId="0" xfId="0" applyFont="1" applyFill="1" applyBorder="1"/>
    <xf numFmtId="0" fontId="8" fillId="11" borderId="7" xfId="0" applyFont="1" applyFill="1" applyBorder="1" applyAlignment="1">
      <alignment horizontal="center"/>
    </xf>
    <xf numFmtId="0" fontId="11" fillId="11" borderId="7" xfId="0" applyFont="1" applyFill="1" applyBorder="1"/>
    <xf numFmtId="0" fontId="8" fillId="11" borderId="7" xfId="0" applyFont="1" applyFill="1" applyBorder="1"/>
    <xf numFmtId="0" fontId="8" fillId="0" borderId="0" xfId="0" applyFont="1" applyFill="1"/>
    <xf numFmtId="9" fontId="8" fillId="0" borderId="0" xfId="0" applyNumberFormat="1" applyFont="1" applyFill="1"/>
    <xf numFmtId="0" fontId="31" fillId="8" borderId="7" xfId="0" applyFont="1" applyFill="1" applyBorder="1"/>
    <xf numFmtId="0" fontId="32" fillId="8" borderId="7" xfId="0" applyFont="1" applyFill="1" applyBorder="1"/>
    <xf numFmtId="0" fontId="32" fillId="8" borderId="7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6" fontId="0" fillId="0" borderId="5" xfId="0" applyNumberFormat="1" applyBorder="1"/>
    <xf numFmtId="0" fontId="9" fillId="0" borderId="0" xfId="0" applyFont="1"/>
    <xf numFmtId="184" fontId="0" fillId="0" borderId="0" xfId="0" applyNumberFormat="1" applyAlignment="1">
      <alignment horizontal="center"/>
    </xf>
    <xf numFmtId="0" fontId="8" fillId="0" borderId="0" xfId="0" applyFont="1" applyFill="1" applyAlignment="1">
      <alignment horizontal="left" indent="1"/>
    </xf>
    <xf numFmtId="9" fontId="0" fillId="0" borderId="5" xfId="0" applyNumberFormat="1" applyBorder="1"/>
    <xf numFmtId="164" fontId="25" fillId="0" borderId="0" xfId="6" applyNumberFormat="1" applyFont="1" applyFill="1"/>
    <xf numFmtId="9" fontId="25" fillId="0" borderId="0" xfId="6" applyNumberFormat="1" applyFont="1"/>
    <xf numFmtId="0" fontId="21" fillId="0" borderId="0" xfId="6" applyAlignment="1">
      <alignment horizontal="center"/>
    </xf>
    <xf numFmtId="0" fontId="24" fillId="0" borderId="0" xfId="6" applyFont="1" applyAlignment="1">
      <alignment horizontal="center"/>
    </xf>
    <xf numFmtId="6" fontId="25" fillId="0" borderId="0" xfId="6" applyNumberFormat="1" applyFont="1" applyFill="1"/>
    <xf numFmtId="0" fontId="21" fillId="0" borderId="0" xfId="6" applyFill="1"/>
    <xf numFmtId="9" fontId="23" fillId="0" borderId="0" xfId="6" applyNumberFormat="1" applyFont="1" applyFill="1"/>
    <xf numFmtId="9" fontId="35" fillId="12" borderId="34" xfId="0" applyNumberFormat="1" applyFont="1" applyFill="1" applyBorder="1" applyAlignment="1">
      <alignment horizontal="center"/>
    </xf>
    <xf numFmtId="185" fontId="35" fillId="0" borderId="34" xfId="0" applyNumberFormat="1" applyFont="1" applyBorder="1" applyAlignment="1">
      <alignment horizontal="center"/>
    </xf>
    <xf numFmtId="0" fontId="35" fillId="12" borderId="34" xfId="0" applyFont="1" applyFill="1" applyBorder="1" applyAlignment="1">
      <alignment horizontal="center"/>
    </xf>
    <xf numFmtId="9" fontId="35" fillId="0" borderId="34" xfId="10" applyFont="1" applyBorder="1" applyAlignment="1">
      <alignment horizontal="center"/>
    </xf>
    <xf numFmtId="0" fontId="21" fillId="0" borderId="0" xfId="6" applyAlignment="1">
      <alignment horizontal="right"/>
    </xf>
    <xf numFmtId="0" fontId="35" fillId="0" borderId="0" xfId="0" applyFont="1" applyAlignment="1">
      <alignment horizontal="right"/>
    </xf>
    <xf numFmtId="8" fontId="21" fillId="0" borderId="0" xfId="6" applyNumberFormat="1" applyAlignment="1">
      <alignment horizontal="right"/>
    </xf>
    <xf numFmtId="180" fontId="22" fillId="8" borderId="0" xfId="6" applyNumberFormat="1" applyFont="1" applyFill="1" applyAlignment="1">
      <alignment horizontal="right"/>
    </xf>
    <xf numFmtId="9" fontId="26" fillId="0" borderId="0" xfId="6" applyNumberFormat="1" applyFont="1" applyAlignment="1">
      <alignment horizontal="right"/>
    </xf>
    <xf numFmtId="9" fontId="21" fillId="0" borderId="0" xfId="6" applyNumberFormat="1" applyAlignment="1">
      <alignment horizontal="right"/>
    </xf>
    <xf numFmtId="6" fontId="21" fillId="0" borderId="0" xfId="6" applyNumberFormat="1" applyAlignment="1">
      <alignment horizontal="right"/>
    </xf>
    <xf numFmtId="6" fontId="21" fillId="0" borderId="2" xfId="6" applyNumberFormat="1" applyBorder="1" applyAlignment="1">
      <alignment horizontal="right"/>
    </xf>
    <xf numFmtId="6" fontId="21" fillId="0" borderId="1" xfId="6" applyNumberFormat="1" applyBorder="1" applyAlignment="1">
      <alignment horizontal="right"/>
    </xf>
    <xf numFmtId="6" fontId="21" fillId="9" borderId="0" xfId="6" applyNumberFormat="1" applyFill="1" applyAlignment="1">
      <alignment horizontal="right"/>
    </xf>
    <xf numFmtId="0" fontId="22" fillId="8" borderId="0" xfId="6" applyFont="1" applyFill="1" applyAlignment="1">
      <alignment horizontal="right"/>
    </xf>
    <xf numFmtId="10" fontId="21" fillId="0" borderId="0" xfId="6" applyNumberFormat="1" applyAlignment="1">
      <alignment horizontal="right"/>
    </xf>
    <xf numFmtId="43" fontId="0" fillId="0" borderId="0" xfId="7" applyFont="1" applyAlignment="1">
      <alignment horizontal="right"/>
    </xf>
    <xf numFmtId="6" fontId="0" fillId="0" borderId="2" xfId="0" applyNumberFormat="1" applyBorder="1" applyAlignment="1">
      <alignment horizontal="center"/>
    </xf>
    <xf numFmtId="9" fontId="25" fillId="0" borderId="0" xfId="6" applyNumberFormat="1" applyFont="1" applyFill="1"/>
    <xf numFmtId="173" fontId="8" fillId="0" borderId="0" xfId="0" applyNumberFormat="1" applyFont="1"/>
    <xf numFmtId="9" fontId="5" fillId="0" borderId="8" xfId="0" applyNumberFormat="1" applyFont="1" applyBorder="1" applyAlignment="1">
      <alignment horizontal="center"/>
    </xf>
    <xf numFmtId="172" fontId="0" fillId="0" borderId="2" xfId="0" applyNumberFormat="1" applyBorder="1" applyAlignment="1">
      <alignment horizontal="center"/>
    </xf>
    <xf numFmtId="173" fontId="8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6" fontId="0" fillId="0" borderId="0" xfId="0" applyNumberFormat="1" applyAlignment="1">
      <alignment horizontal="center"/>
    </xf>
    <xf numFmtId="0" fontId="25" fillId="11" borderId="0" xfId="6" applyFont="1" applyFill="1"/>
    <xf numFmtId="180" fontId="25" fillId="11" borderId="0" xfId="6" applyNumberFormat="1" applyFont="1" applyFill="1" applyAlignment="1">
      <alignment horizontal="center"/>
    </xf>
    <xf numFmtId="0" fontId="22" fillId="11" borderId="0" xfId="6" applyFont="1" applyFill="1"/>
    <xf numFmtId="0" fontId="12" fillId="11" borderId="0" xfId="8" applyFont="1" applyFill="1"/>
    <xf numFmtId="0" fontId="12" fillId="11" borderId="0" xfId="8" applyFont="1" applyFill="1" applyAlignment="1">
      <alignment horizontal="center"/>
    </xf>
    <xf numFmtId="180" fontId="12" fillId="11" borderId="0" xfId="8" applyNumberFormat="1" applyFont="1" applyFill="1" applyAlignment="1">
      <alignment horizontal="center"/>
    </xf>
    <xf numFmtId="179" fontId="25" fillId="11" borderId="0" xfId="6" applyNumberFormat="1" applyFont="1" applyFill="1" applyAlignment="1">
      <alignment horizontal="center"/>
    </xf>
    <xf numFmtId="0" fontId="9" fillId="0" borderId="0" xfId="1" applyFont="1" applyBorder="1" applyAlignment="1">
      <alignment horizontal="left"/>
    </xf>
    <xf numFmtId="0" fontId="8" fillId="0" borderId="0" xfId="1" applyFont="1" applyBorder="1" applyAlignment="1">
      <alignment horizontal="center"/>
    </xf>
    <xf numFmtId="0" fontId="8" fillId="0" borderId="0" xfId="1" applyFont="1" applyFill="1" applyBorder="1"/>
    <xf numFmtId="0" fontId="8" fillId="0" borderId="0" xfId="1" applyFont="1" applyFill="1" applyBorder="1" applyAlignment="1"/>
    <xf numFmtId="0" fontId="9" fillId="2" borderId="0" xfId="1" applyFont="1" applyFill="1" applyBorder="1" applyAlignment="1">
      <alignment horizontal="left"/>
    </xf>
    <xf numFmtId="0" fontId="8" fillId="2" borderId="0" xfId="1" applyFont="1" applyFill="1" applyBorder="1"/>
    <xf numFmtId="0" fontId="9" fillId="0" borderId="0" xfId="1" applyFont="1" applyBorder="1" applyAlignment="1">
      <alignment horizontal="right" vertical="center"/>
    </xf>
    <xf numFmtId="0" fontId="9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vertical="center"/>
    </xf>
    <xf numFmtId="0" fontId="8" fillId="0" borderId="0" xfId="1" applyFont="1" applyBorder="1"/>
    <xf numFmtId="0" fontId="9" fillId="0" borderId="0" xfId="1" applyFont="1" applyBorder="1"/>
    <xf numFmtId="0" fontId="38" fillId="0" borderId="0" xfId="1" applyFont="1" applyBorder="1" applyAlignment="1">
      <alignment vertical="center"/>
    </xf>
    <xf numFmtId="0" fontId="36" fillId="13" borderId="0" xfId="1" applyFont="1" applyFill="1" applyBorder="1" applyAlignment="1">
      <alignment vertical="center"/>
    </xf>
    <xf numFmtId="0" fontId="32" fillId="13" borderId="0" xfId="1" applyFont="1" applyFill="1" applyBorder="1" applyAlignment="1">
      <alignment vertical="center"/>
    </xf>
    <xf numFmtId="0" fontId="36" fillId="13" borderId="0" xfId="1" applyFont="1" applyFill="1" applyBorder="1" applyAlignment="1">
      <alignment horizontal="left" vertical="center"/>
    </xf>
    <xf numFmtId="0" fontId="9" fillId="0" borderId="0" xfId="1" applyFont="1" applyBorder="1" applyAlignment="1">
      <alignment horizontal="center"/>
    </xf>
    <xf numFmtId="0" fontId="8" fillId="0" borderId="0" xfId="1" applyFont="1" applyBorder="1" applyAlignment="1">
      <alignment horizontal="right"/>
    </xf>
    <xf numFmtId="44" fontId="8" fillId="0" borderId="0" xfId="1" applyNumberFormat="1" applyFont="1" applyFill="1" applyBorder="1"/>
    <xf numFmtId="0" fontId="9" fillId="0" borderId="0" xfId="1" applyFont="1" applyBorder="1" applyAlignment="1">
      <alignment horizontal="right"/>
    </xf>
    <xf numFmtId="0" fontId="9" fillId="0" borderId="0" xfId="1" applyFont="1" applyFill="1" applyBorder="1"/>
    <xf numFmtId="0" fontId="8" fillId="0" borderId="0" xfId="1" applyFont="1" applyBorder="1" applyAlignment="1">
      <alignment wrapText="1"/>
    </xf>
    <xf numFmtId="0" fontId="8" fillId="0" borderId="0" xfId="1" applyFont="1" applyFill="1" applyBorder="1" applyAlignment="1">
      <alignment horizontal="center"/>
    </xf>
    <xf numFmtId="0" fontId="8" fillId="0" borderId="0" xfId="1" applyFont="1" applyFill="1" applyBorder="1" applyAlignment="1">
      <alignment horizontal="center"/>
    </xf>
    <xf numFmtId="0" fontId="8" fillId="0" borderId="0" xfId="1" applyFont="1" applyBorder="1" applyAlignment="1">
      <alignment horizontal="right"/>
    </xf>
    <xf numFmtId="0" fontId="8" fillId="0" borderId="0" xfId="1" applyFont="1" applyBorder="1" applyAlignment="1"/>
    <xf numFmtId="0" fontId="9" fillId="0" borderId="0" xfId="1" applyFont="1" applyBorder="1" applyAlignment="1">
      <alignment horizontal="left"/>
    </xf>
    <xf numFmtId="0" fontId="9" fillId="0" borderId="2" xfId="1" applyFont="1" applyBorder="1" applyAlignment="1">
      <alignment horizontal="left"/>
    </xf>
    <xf numFmtId="0" fontId="9" fillId="0" borderId="0" xfId="1" applyFont="1" applyBorder="1" applyAlignment="1">
      <alignment horizontal="center"/>
    </xf>
    <xf numFmtId="0" fontId="8" fillId="0" borderId="0" xfId="1" applyFont="1" applyBorder="1" applyAlignment="1">
      <alignment horizontal="center"/>
    </xf>
    <xf numFmtId="0" fontId="36" fillId="13" borderId="0" xfId="1" applyFont="1" applyFill="1" applyBorder="1" applyAlignment="1">
      <alignment vertical="center"/>
    </xf>
    <xf numFmtId="0" fontId="9" fillId="0" borderId="0" xfId="1" applyFont="1" applyBorder="1" applyAlignment="1">
      <alignment horizontal="right"/>
    </xf>
    <xf numFmtId="0" fontId="8" fillId="0" borderId="0" xfId="1" applyFont="1" applyFill="1" applyBorder="1" applyAlignment="1"/>
    <xf numFmtId="0" fontId="9" fillId="0" borderId="0" xfId="1" applyFont="1" applyFill="1" applyBorder="1" applyAlignment="1">
      <alignment horizontal="center"/>
    </xf>
    <xf numFmtId="0" fontId="36" fillId="0" borderId="0" xfId="1" applyFont="1" applyFill="1" applyBorder="1" applyAlignment="1">
      <alignment horizontal="center"/>
    </xf>
    <xf numFmtId="0" fontId="36" fillId="0" borderId="0" xfId="1" applyFont="1" applyFill="1" applyBorder="1" applyAlignment="1">
      <alignment vertical="center"/>
    </xf>
    <xf numFmtId="0" fontId="32" fillId="0" borderId="0" xfId="1" applyFont="1" applyFill="1" applyBorder="1" applyAlignment="1">
      <alignment vertical="center"/>
    </xf>
    <xf numFmtId="0" fontId="36" fillId="0" borderId="0" xfId="1" applyFont="1" applyFill="1" applyBorder="1" applyAlignment="1">
      <alignment horizontal="right" vertical="center"/>
    </xf>
    <xf numFmtId="0" fontId="36" fillId="0" borderId="0" xfId="1" applyFont="1" applyFill="1" applyBorder="1" applyAlignment="1">
      <alignment horizontal="left" vertical="center"/>
    </xf>
    <xf numFmtId="0" fontId="8" fillId="0" borderId="0" xfId="1" applyFont="1" applyFill="1" applyBorder="1" applyAlignment="1">
      <alignment vertical="center"/>
    </xf>
    <xf numFmtId="0" fontId="32" fillId="8" borderId="5" xfId="1" applyFont="1" applyFill="1" applyBorder="1"/>
    <xf numFmtId="0" fontId="8" fillId="11" borderId="5" xfId="1" applyFont="1" applyFill="1" applyBorder="1"/>
    <xf numFmtId="0" fontId="36" fillId="0" borderId="0" xfId="1" applyFont="1" applyFill="1" applyBorder="1" applyAlignment="1">
      <alignment horizontal="center" vertical="center"/>
    </xf>
    <xf numFmtId="184" fontId="9" fillId="0" borderId="0" xfId="1" applyNumberFormat="1" applyFont="1" applyBorder="1" applyAlignment="1">
      <alignment horizontal="center"/>
    </xf>
    <xf numFmtId="0" fontId="36" fillId="13" borderId="0" xfId="1" applyFont="1" applyFill="1" applyBorder="1" applyAlignment="1">
      <alignment horizontal="left" vertical="center"/>
    </xf>
    <xf numFmtId="0" fontId="9" fillId="11" borderId="5" xfId="1" applyFont="1" applyFill="1" applyBorder="1" applyAlignment="1">
      <alignment horizontal="left"/>
    </xf>
    <xf numFmtId="0" fontId="36" fillId="8" borderId="5" xfId="1" applyFont="1" applyFill="1" applyBorder="1" applyAlignment="1">
      <alignment horizontal="left"/>
    </xf>
    <xf numFmtId="0" fontId="9" fillId="0" borderId="41" xfId="1" applyFont="1" applyBorder="1" applyAlignment="1">
      <alignment horizontal="left"/>
    </xf>
    <xf numFmtId="0" fontId="9" fillId="0" borderId="41" xfId="1" applyFont="1" applyBorder="1" applyAlignment="1">
      <alignment horizontal="right"/>
    </xf>
    <xf numFmtId="166" fontId="8" fillId="0" borderId="0" xfId="1" applyNumberFormat="1" applyFont="1" applyBorder="1"/>
    <xf numFmtId="166" fontId="8" fillId="0" borderId="0" xfId="1" applyNumberFormat="1" applyFont="1" applyBorder="1" applyAlignment="1">
      <alignment horizontal="center"/>
    </xf>
    <xf numFmtId="166" fontId="8" fillId="0" borderId="0" xfId="1" applyNumberFormat="1" applyFont="1" applyFill="1" applyBorder="1"/>
    <xf numFmtId="166" fontId="8" fillId="0" borderId="0" xfId="1" applyNumberFormat="1" applyFont="1" applyBorder="1" applyAlignment="1"/>
    <xf numFmtId="166" fontId="8" fillId="0" borderId="2" xfId="1" applyNumberFormat="1" applyFont="1" applyFill="1" applyBorder="1"/>
    <xf numFmtId="166" fontId="8" fillId="2" borderId="0" xfId="1" applyNumberFormat="1" applyFont="1" applyFill="1" applyBorder="1" applyAlignment="1">
      <alignment horizontal="center"/>
    </xf>
    <xf numFmtId="166" fontId="8" fillId="2" borderId="0" xfId="1" applyNumberFormat="1" applyFont="1" applyFill="1" applyBorder="1"/>
    <xf numFmtId="166" fontId="8" fillId="2" borderId="0" xfId="1" applyNumberFormat="1" applyFont="1" applyFill="1" applyBorder="1" applyAlignment="1"/>
    <xf numFmtId="166" fontId="9" fillId="0" borderId="0" xfId="1" applyNumberFormat="1" applyFont="1" applyBorder="1" applyAlignment="1">
      <alignment horizontal="center"/>
    </xf>
    <xf numFmtId="166" fontId="8" fillId="0" borderId="0" xfId="1" applyNumberFormat="1" applyFont="1" applyFill="1" applyBorder="1" applyAlignment="1"/>
    <xf numFmtId="166" fontId="8" fillId="0" borderId="41" xfId="1" applyNumberFormat="1" applyFont="1" applyFill="1" applyBorder="1"/>
    <xf numFmtId="9" fontId="9" fillId="0" borderId="0" xfId="1" applyNumberFormat="1" applyFont="1" applyBorder="1"/>
    <xf numFmtId="173" fontId="8" fillId="0" borderId="0" xfId="1" applyNumberFormat="1" applyFont="1" applyBorder="1" applyAlignment="1">
      <alignment horizontal="center"/>
    </xf>
    <xf numFmtId="0" fontId="36" fillId="8" borderId="36" xfId="1" applyFont="1" applyFill="1" applyBorder="1" applyAlignment="1">
      <alignment horizontal="left"/>
    </xf>
    <xf numFmtId="0" fontId="36" fillId="8" borderId="37" xfId="1" applyFont="1" applyFill="1" applyBorder="1" applyAlignment="1">
      <alignment horizontal="left"/>
    </xf>
    <xf numFmtId="0" fontId="36" fillId="8" borderId="38" xfId="1" applyFont="1" applyFill="1" applyBorder="1" applyAlignment="1">
      <alignment horizontal="left"/>
    </xf>
    <xf numFmtId="0" fontId="36" fillId="8" borderId="36" xfId="1" applyFont="1" applyFill="1" applyBorder="1" applyAlignment="1"/>
    <xf numFmtId="0" fontId="36" fillId="8" borderId="37" xfId="1" applyFont="1" applyFill="1" applyBorder="1" applyAlignment="1"/>
    <xf numFmtId="0" fontId="36" fillId="8" borderId="38" xfId="1" applyFont="1" applyFill="1" applyBorder="1" applyAlignment="1"/>
    <xf numFmtId="0" fontId="9" fillId="11" borderId="36" xfId="1" applyFont="1" applyFill="1" applyBorder="1" applyAlignment="1">
      <alignment horizontal="left"/>
    </xf>
    <xf numFmtId="0" fontId="9" fillId="11" borderId="37" xfId="1" applyFont="1" applyFill="1" applyBorder="1" applyAlignment="1">
      <alignment horizontal="left"/>
    </xf>
    <xf numFmtId="0" fontId="9" fillId="11" borderId="38" xfId="1" applyFont="1" applyFill="1" applyBorder="1" applyAlignment="1">
      <alignment horizontal="left"/>
    </xf>
    <xf numFmtId="6" fontId="8" fillId="0" borderId="0" xfId="1" applyNumberFormat="1" applyFont="1" applyFill="1" applyBorder="1"/>
    <xf numFmtId="187" fontId="8" fillId="0" borderId="0" xfId="1" applyNumberFormat="1" applyFont="1" applyBorder="1" applyAlignment="1">
      <alignment horizontal="right"/>
    </xf>
    <xf numFmtId="1" fontId="8" fillId="0" borderId="0" xfId="1" applyNumberFormat="1" applyFont="1" applyBorder="1" applyAlignment="1">
      <alignment horizontal="center"/>
    </xf>
    <xf numFmtId="0" fontId="8" fillId="0" borderId="0" xfId="1" applyFont="1" applyFill="1" applyBorder="1" applyAlignment="1">
      <alignment horizontal="right"/>
    </xf>
    <xf numFmtId="0" fontId="8" fillId="0" borderId="0" xfId="1" applyFont="1" applyFill="1" applyBorder="1" applyAlignment="1"/>
    <xf numFmtId="164" fontId="8" fillId="0" borderId="0" xfId="2" applyNumberFormat="1" applyFont="1" applyBorder="1" applyAlignment="1">
      <alignment horizontal="center"/>
    </xf>
    <xf numFmtId="164" fontId="0" fillId="0" borderId="0" xfId="2" applyNumberFormat="1" applyFont="1" applyBorder="1"/>
    <xf numFmtId="0" fontId="4" fillId="0" borderId="0" xfId="8" applyFont="1"/>
    <xf numFmtId="164" fontId="12" fillId="0" borderId="0" xfId="9" applyNumberFormat="1" applyFont="1" applyFill="1"/>
    <xf numFmtId="188" fontId="8" fillId="0" borderId="0" xfId="1" applyNumberFormat="1" applyFont="1" applyFill="1" applyBorder="1" applyAlignment="1">
      <alignment horizontal="center"/>
    </xf>
    <xf numFmtId="189" fontId="8" fillId="0" borderId="0" xfId="1" applyNumberFormat="1" applyFont="1" applyFill="1" applyBorder="1" applyAlignment="1">
      <alignment horizontal="center"/>
    </xf>
    <xf numFmtId="190" fontId="8" fillId="0" borderId="0" xfId="1" applyNumberFormat="1" applyFont="1" applyFill="1" applyBorder="1" applyAlignment="1">
      <alignment horizontal="center"/>
    </xf>
    <xf numFmtId="5" fontId="8" fillId="0" borderId="0" xfId="1" applyNumberFormat="1" applyFont="1" applyFill="1" applyBorder="1" applyAlignment="1">
      <alignment horizontal="center"/>
    </xf>
    <xf numFmtId="0" fontId="9" fillId="0" borderId="42" xfId="1" applyFont="1" applyBorder="1" applyAlignment="1">
      <alignment horizontal="left" wrapText="1"/>
    </xf>
    <xf numFmtId="0" fontId="8" fillId="0" borderId="42" xfId="1" applyFont="1" applyBorder="1" applyAlignment="1">
      <alignment wrapText="1"/>
    </xf>
    <xf numFmtId="0" fontId="9" fillId="0" borderId="42" xfId="1" applyFont="1" applyBorder="1" applyAlignment="1">
      <alignment horizontal="center" wrapText="1"/>
    </xf>
    <xf numFmtId="9" fontId="8" fillId="0" borderId="0" xfId="0" applyNumberFormat="1" applyFont="1" applyFill="1" applyBorder="1"/>
    <xf numFmtId="164" fontId="0" fillId="0" borderId="0" xfId="2" applyNumberFormat="1" applyFont="1" applyFill="1" applyBorder="1"/>
    <xf numFmtId="0" fontId="8" fillId="0" borderId="0" xfId="0" applyFont="1" applyFill="1" applyBorder="1" applyAlignment="1">
      <alignment horizontal="center"/>
    </xf>
    <xf numFmtId="167" fontId="0" fillId="0" borderId="0" xfId="2" applyNumberFormat="1" applyFont="1" applyFill="1" applyBorder="1"/>
    <xf numFmtId="170" fontId="12" fillId="0" borderId="0" xfId="0" applyNumberFormat="1" applyFont="1" applyFill="1" applyBorder="1"/>
    <xf numFmtId="0" fontId="32" fillId="0" borderId="0" xfId="0" applyFont="1" applyFill="1" applyBorder="1" applyAlignment="1">
      <alignment horizontal="center"/>
    </xf>
    <xf numFmtId="9" fontId="14" fillId="0" borderId="0" xfId="0" applyNumberFormat="1" applyFont="1" applyFill="1" applyBorder="1"/>
    <xf numFmtId="0" fontId="11" fillId="0" borderId="0" xfId="0" applyFont="1" applyFill="1" applyBorder="1"/>
    <xf numFmtId="0" fontId="39" fillId="0" borderId="0" xfId="0" applyFont="1"/>
    <xf numFmtId="173" fontId="39" fillId="0" borderId="0" xfId="0" applyNumberFormat="1" applyFont="1"/>
    <xf numFmtId="0" fontId="39" fillId="0" borderId="0" xfId="0" applyFont="1" applyFill="1" applyBorder="1"/>
    <xf numFmtId="0" fontId="42" fillId="0" borderId="23" xfId="0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Fill="1" applyBorder="1" applyAlignment="1">
      <alignment wrapText="1"/>
    </xf>
    <xf numFmtId="1" fontId="8" fillId="0" borderId="0" xfId="2" applyNumberFormat="1" applyFont="1" applyFill="1" applyBorder="1" applyAlignment="1">
      <alignment horizontal="center"/>
    </xf>
    <xf numFmtId="0" fontId="43" fillId="8" borderId="0" xfId="0" applyFont="1" applyFill="1" applyBorder="1"/>
    <xf numFmtId="0" fontId="33" fillId="8" borderId="0" xfId="0" applyFont="1" applyFill="1" applyBorder="1"/>
    <xf numFmtId="0" fontId="33" fillId="8" borderId="0" xfId="0" applyFont="1" applyFill="1" applyBorder="1" applyAlignment="1">
      <alignment horizontal="center"/>
    </xf>
    <xf numFmtId="9" fontId="0" fillId="0" borderId="0" xfId="0" applyNumberFormat="1" applyFill="1" applyBorder="1" applyAlignment="1">
      <alignment horizontal="center"/>
    </xf>
    <xf numFmtId="9" fontId="8" fillId="0" borderId="0" xfId="0" applyNumberFormat="1" applyFont="1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0" fontId="0" fillId="0" borderId="0" xfId="0" applyNumberFormat="1" applyFill="1" applyBorder="1" applyAlignment="1">
      <alignment horizontal="center"/>
    </xf>
    <xf numFmtId="9" fontId="40" fillId="0" borderId="0" xfId="0" applyNumberFormat="1" applyFont="1" applyAlignment="1">
      <alignment horizontal="center"/>
    </xf>
    <xf numFmtId="191" fontId="40" fillId="0" borderId="0" xfId="0" applyNumberFormat="1" applyFont="1" applyAlignment="1">
      <alignment horizontal="center"/>
    </xf>
    <xf numFmtId="192" fontId="41" fillId="0" borderId="0" xfId="0" applyNumberFormat="1" applyFont="1" applyAlignment="1">
      <alignment horizontal="center"/>
    </xf>
    <xf numFmtId="191" fontId="41" fillId="0" borderId="0" xfId="0" applyNumberFormat="1" applyFont="1" applyAlignment="1">
      <alignment horizontal="center"/>
    </xf>
    <xf numFmtId="173" fontId="41" fillId="0" borderId="0" xfId="0" applyNumberFormat="1" applyFont="1" applyAlignment="1">
      <alignment horizontal="center"/>
    </xf>
    <xf numFmtId="167" fontId="0" fillId="0" borderId="0" xfId="0" applyNumberFormat="1" applyAlignment="1"/>
    <xf numFmtId="6" fontId="11" fillId="0" borderId="0" xfId="0" applyNumberFormat="1" applyFont="1" applyFill="1" applyBorder="1" applyAlignment="1">
      <alignment horizontal="center"/>
    </xf>
    <xf numFmtId="6" fontId="12" fillId="0" borderId="0" xfId="0" applyNumberFormat="1" applyFont="1" applyFill="1" applyBorder="1" applyAlignment="1">
      <alignment horizontal="center"/>
    </xf>
    <xf numFmtId="6" fontId="8" fillId="0" borderId="0" xfId="0" applyNumberFormat="1" applyFont="1" applyFill="1" applyBorder="1" applyAlignment="1">
      <alignment horizontal="center"/>
    </xf>
    <xf numFmtId="6" fontId="0" fillId="0" borderId="0" xfId="0" applyNumberForma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6" fontId="8" fillId="0" borderId="0" xfId="0" applyNumberFormat="1" applyFont="1" applyFill="1" applyBorder="1" applyAlignment="1">
      <alignment horizontal="left"/>
    </xf>
    <xf numFmtId="6" fontId="0" fillId="0" borderId="5" xfId="2" applyNumberFormat="1" applyFont="1" applyBorder="1"/>
    <xf numFmtId="0" fontId="44" fillId="11" borderId="0" xfId="0" applyFont="1" applyFill="1" applyBorder="1"/>
    <xf numFmtId="0" fontId="34" fillId="11" borderId="0" xfId="0" applyFont="1" applyFill="1" applyBorder="1"/>
    <xf numFmtId="0" fontId="34" fillId="11" borderId="0" xfId="0" applyFont="1" applyFill="1" applyBorder="1" applyAlignment="1">
      <alignment horizontal="center"/>
    </xf>
    <xf numFmtId="0" fontId="9" fillId="0" borderId="0" xfId="1" applyFont="1" applyBorder="1" applyAlignment="1">
      <alignment horizontal="left"/>
    </xf>
    <xf numFmtId="0" fontId="8" fillId="0" borderId="0" xfId="1" applyFont="1" applyBorder="1" applyAlignment="1">
      <alignment horizontal="left"/>
    </xf>
    <xf numFmtId="0" fontId="8" fillId="0" borderId="0" xfId="1" applyFont="1" applyFill="1" applyBorder="1" applyAlignment="1">
      <alignment horizontal="center"/>
    </xf>
    <xf numFmtId="0" fontId="8" fillId="0" borderId="0" xfId="1" applyFont="1" applyFill="1" applyBorder="1" applyAlignment="1"/>
    <xf numFmtId="0" fontId="9" fillId="0" borderId="0" xfId="1" applyFont="1" applyBorder="1" applyAlignment="1">
      <alignment horizontal="right"/>
    </xf>
    <xf numFmtId="173" fontId="21" fillId="0" borderId="0" xfId="6" applyNumberFormat="1"/>
    <xf numFmtId="9" fontId="21" fillId="0" borderId="2" xfId="6" applyNumberFormat="1" applyBorder="1"/>
    <xf numFmtId="6" fontId="21" fillId="0" borderId="5" xfId="6" applyNumberFormat="1" applyBorder="1"/>
    <xf numFmtId="0" fontId="3" fillId="0" borderId="0" xfId="8" applyFont="1"/>
    <xf numFmtId="9" fontId="12" fillId="0" borderId="0" xfId="8" applyNumberFormat="1" applyFont="1" applyFill="1" applyAlignment="1">
      <alignment horizontal="center"/>
    </xf>
    <xf numFmtId="0" fontId="8" fillId="0" borderId="0" xfId="1" applyFont="1" applyBorder="1" applyAlignment="1">
      <alignment horizontal="right"/>
    </xf>
    <xf numFmtId="0" fontId="8" fillId="0" borderId="0" xfId="1" applyFont="1" applyBorder="1" applyAlignment="1"/>
    <xf numFmtId="0" fontId="8" fillId="0" borderId="0" xfId="1" applyFont="1" applyBorder="1" applyAlignment="1">
      <alignment horizontal="center"/>
    </xf>
    <xf numFmtId="0" fontId="32" fillId="13" borderId="0" xfId="1" applyFont="1" applyFill="1" applyBorder="1" applyAlignment="1">
      <alignment vertical="center"/>
    </xf>
    <xf numFmtId="0" fontId="6" fillId="0" borderId="0" xfId="8" applyAlignment="1">
      <alignment horizontal="center"/>
    </xf>
    <xf numFmtId="0" fontId="0" fillId="0" borderId="0" xfId="0" applyFill="1" applyBorder="1" applyAlignment="1">
      <alignment horizontal="right"/>
    </xf>
    <xf numFmtId="0" fontId="32" fillId="0" borderId="0" xfId="0" applyFont="1" applyFill="1" applyBorder="1"/>
    <xf numFmtId="167" fontId="0" fillId="0" borderId="0" xfId="2" applyNumberFormat="1" applyFont="1" applyAlignment="1">
      <alignment horizontal="center"/>
    </xf>
    <xf numFmtId="164" fontId="0" fillId="0" borderId="2" xfId="2" applyNumberFormat="1" applyFont="1" applyBorder="1" applyAlignment="1">
      <alignment horizontal="center"/>
    </xf>
    <xf numFmtId="6" fontId="8" fillId="0" borderId="0" xfId="0" applyNumberFormat="1" applyFont="1" applyAlignment="1">
      <alignment horizontal="center"/>
    </xf>
    <xf numFmtId="0" fontId="8" fillId="0" borderId="0" xfId="1" applyFont="1" applyFill="1" applyBorder="1" applyAlignment="1">
      <alignment horizontal="right"/>
    </xf>
    <xf numFmtId="164" fontId="8" fillId="0" borderId="0" xfId="2" applyNumberFormat="1" applyFont="1" applyFill="1" applyBorder="1" applyAlignment="1">
      <alignment horizontal="center"/>
    </xf>
    <xf numFmtId="164" fontId="8" fillId="0" borderId="0" xfId="2" applyNumberFormat="1" applyFont="1" applyFill="1" applyBorder="1" applyAlignment="1"/>
    <xf numFmtId="1" fontId="8" fillId="0" borderId="0" xfId="1" applyNumberFormat="1" applyFont="1" applyFill="1" applyBorder="1" applyAlignment="1"/>
    <xf numFmtId="0" fontId="8" fillId="0" borderId="0" xfId="1" applyFont="1" applyFill="1" applyBorder="1" applyAlignment="1">
      <alignment horizontal="left"/>
    </xf>
    <xf numFmtId="172" fontId="0" fillId="0" borderId="0" xfId="0" applyNumberFormat="1" applyFill="1" applyAlignment="1">
      <alignment horizontal="center"/>
    </xf>
    <xf numFmtId="1" fontId="0" fillId="0" borderId="0" xfId="0" applyNumberFormat="1" applyFill="1"/>
    <xf numFmtId="0" fontId="37" fillId="0" borderId="0" xfId="1" applyFont="1" applyFill="1" applyBorder="1" applyAlignment="1">
      <alignment horizontal="right"/>
    </xf>
    <xf numFmtId="5" fontId="8" fillId="0" borderId="0" xfId="1" applyNumberFormat="1" applyFont="1" applyFill="1" applyBorder="1"/>
    <xf numFmtId="0" fontId="8" fillId="0" borderId="2" xfId="1" applyFont="1" applyBorder="1" applyAlignment="1">
      <alignment horizontal="right"/>
    </xf>
    <xf numFmtId="166" fontId="8" fillId="0" borderId="2" xfId="1" applyNumberFormat="1" applyFont="1" applyBorder="1" applyAlignment="1">
      <alignment horizontal="center"/>
    </xf>
    <xf numFmtId="0" fontId="8" fillId="0" borderId="2" xfId="1" applyFont="1" applyBorder="1" applyAlignment="1">
      <alignment horizontal="center"/>
    </xf>
    <xf numFmtId="164" fontId="8" fillId="0" borderId="2" xfId="1" applyNumberFormat="1" applyFont="1" applyBorder="1" applyAlignment="1">
      <alignment horizontal="center"/>
    </xf>
    <xf numFmtId="6" fontId="8" fillId="0" borderId="0" xfId="2" applyNumberFormat="1" applyFont="1" applyFill="1" applyAlignment="1">
      <alignment horizontal="center"/>
    </xf>
    <xf numFmtId="0" fontId="9" fillId="0" borderId="36" xfId="1" applyFont="1" applyBorder="1" applyAlignment="1">
      <alignment horizontal="right"/>
    </xf>
    <xf numFmtId="0" fontId="9" fillId="0" borderId="37" xfId="1" applyFont="1" applyBorder="1" applyAlignment="1">
      <alignment horizontal="right"/>
    </xf>
    <xf numFmtId="44" fontId="8" fillId="0" borderId="5" xfId="1" applyNumberFormat="1" applyFont="1" applyBorder="1"/>
    <xf numFmtId="0" fontId="9" fillId="0" borderId="0" xfId="1" applyFont="1" applyFill="1" applyBorder="1" applyAlignment="1">
      <alignment horizontal="left" vertical="center"/>
    </xf>
    <xf numFmtId="0" fontId="46" fillId="0" borderId="0" xfId="6" applyFont="1"/>
    <xf numFmtId="0" fontId="15" fillId="0" borderId="25" xfId="0" applyFont="1" applyFill="1" applyBorder="1"/>
    <xf numFmtId="0" fontId="0" fillId="0" borderId="26" xfId="0" applyFill="1" applyBorder="1"/>
    <xf numFmtId="0" fontId="8" fillId="0" borderId="27" xfId="0" applyFont="1" applyFill="1" applyBorder="1" applyAlignment="1">
      <alignment horizontal="center"/>
    </xf>
    <xf numFmtId="0" fontId="8" fillId="0" borderId="20" xfId="0" applyFont="1" applyFill="1" applyBorder="1"/>
    <xf numFmtId="167" fontId="0" fillId="0" borderId="21" xfId="2" applyNumberFormat="1" applyFont="1" applyFill="1" applyBorder="1" applyAlignment="1">
      <alignment horizontal="center"/>
    </xf>
    <xf numFmtId="0" fontId="0" fillId="0" borderId="20" xfId="0" applyFill="1" applyBorder="1"/>
    <xf numFmtId="0" fontId="8" fillId="0" borderId="28" xfId="0" applyFont="1" applyFill="1" applyBorder="1"/>
    <xf numFmtId="9" fontId="8" fillId="0" borderId="29" xfId="0" applyNumberFormat="1" applyFont="1" applyFill="1" applyBorder="1"/>
    <xf numFmtId="164" fontId="0" fillId="0" borderId="30" xfId="2" applyNumberFormat="1" applyFont="1" applyFill="1" applyBorder="1" applyAlignment="1">
      <alignment horizontal="center"/>
    </xf>
    <xf numFmtId="170" fontId="12" fillId="0" borderId="21" xfId="0" applyNumberFormat="1" applyFont="1" applyFill="1" applyBorder="1"/>
    <xf numFmtId="16" fontId="0" fillId="0" borderId="21" xfId="0" applyNumberFormat="1" applyFill="1" applyBorder="1" applyAlignment="1">
      <alignment horizontal="right"/>
    </xf>
    <xf numFmtId="171" fontId="12" fillId="0" borderId="21" xfId="0" applyNumberFormat="1" applyFont="1" applyFill="1" applyBorder="1"/>
    <xf numFmtId="0" fontId="0" fillId="0" borderId="22" xfId="0" applyFill="1" applyBorder="1"/>
    <xf numFmtId="0" fontId="0" fillId="0" borderId="23" xfId="0" applyFill="1" applyBorder="1"/>
    <xf numFmtId="170" fontId="0" fillId="0" borderId="24" xfId="0" applyNumberFormat="1" applyFill="1" applyBorder="1"/>
    <xf numFmtId="0" fontId="32" fillId="0" borderId="0" xfId="0" applyFont="1"/>
    <xf numFmtId="0" fontId="32" fillId="0" borderId="0" xfId="0" applyFont="1" applyAlignment="1">
      <alignment wrapText="1"/>
    </xf>
    <xf numFmtId="6" fontId="32" fillId="0" borderId="0" xfId="0" applyNumberFormat="1" applyFont="1" applyFill="1" applyBorder="1" applyAlignment="1">
      <alignment horizontal="center"/>
    </xf>
    <xf numFmtId="0" fontId="33" fillId="13" borderId="0" xfId="0" applyFont="1" applyFill="1"/>
    <xf numFmtId="0" fontId="32" fillId="13" borderId="0" xfId="0" applyFont="1" applyFill="1" applyAlignment="1">
      <alignment horizontal="center"/>
    </xf>
    <xf numFmtId="0" fontId="32" fillId="13" borderId="0" xfId="0" applyFont="1" applyFill="1"/>
    <xf numFmtId="0" fontId="15" fillId="6" borderId="17" xfId="0" applyFont="1" applyFill="1" applyBorder="1"/>
    <xf numFmtId="0" fontId="15" fillId="6" borderId="18" xfId="0" applyFont="1" applyFill="1" applyBorder="1"/>
    <xf numFmtId="0" fontId="15" fillId="6" borderId="22" xfId="0" applyFont="1" applyFill="1" applyBorder="1"/>
    <xf numFmtId="0" fontId="15" fillId="6" borderId="23" xfId="0" applyFont="1" applyFill="1" applyBorder="1"/>
    <xf numFmtId="9" fontId="15" fillId="0" borderId="8" xfId="0" applyNumberFormat="1" applyFont="1" applyBorder="1" applyAlignment="1">
      <alignment horizontal="center"/>
    </xf>
    <xf numFmtId="6" fontId="9" fillId="0" borderId="2" xfId="0" applyNumberFormat="1" applyFont="1" applyBorder="1" applyAlignment="1">
      <alignment horizontal="center"/>
    </xf>
    <xf numFmtId="172" fontId="9" fillId="0" borderId="2" xfId="0" applyNumberFormat="1" applyFont="1" applyBorder="1" applyAlignment="1">
      <alignment horizontal="center"/>
    </xf>
    <xf numFmtId="172" fontId="15" fillId="6" borderId="19" xfId="0" applyNumberFormat="1" applyFont="1" applyFill="1" applyBorder="1" applyAlignment="1">
      <alignment horizontal="center"/>
    </xf>
    <xf numFmtId="176" fontId="15" fillId="6" borderId="24" xfId="0" applyNumberFormat="1" applyFont="1" applyFill="1" applyBorder="1" applyAlignment="1">
      <alignment horizontal="center"/>
    </xf>
    <xf numFmtId="0" fontId="15" fillId="4" borderId="0" xfId="0" applyFont="1" applyFill="1" applyBorder="1"/>
    <xf numFmtId="0" fontId="15" fillId="4" borderId="0" xfId="0" applyFont="1" applyFill="1" applyBorder="1" applyAlignment="1">
      <alignment horizontal="center"/>
    </xf>
    <xf numFmtId="164" fontId="0" fillId="0" borderId="0" xfId="2" applyNumberFormat="1" applyFont="1" applyFill="1" applyBorder="1" applyAlignment="1">
      <alignment horizontal="center"/>
    </xf>
    <xf numFmtId="0" fontId="8" fillId="4" borderId="0" xfId="0" applyFont="1" applyFill="1" applyBorder="1" applyAlignment="1">
      <alignment horizontal="center"/>
    </xf>
    <xf numFmtId="167" fontId="0" fillId="0" borderId="0" xfId="2" applyNumberFormat="1" applyFont="1" applyFill="1" applyBorder="1" applyAlignment="1">
      <alignment horizontal="center"/>
    </xf>
    <xf numFmtId="0" fontId="8" fillId="0" borderId="2" xfId="0" applyFont="1" applyFill="1" applyBorder="1"/>
    <xf numFmtId="167" fontId="0" fillId="0" borderId="2" xfId="2" applyNumberFormat="1" applyFont="1" applyFill="1" applyBorder="1" applyAlignment="1">
      <alignment horizontal="center"/>
    </xf>
    <xf numFmtId="171" fontId="8" fillId="0" borderId="0" xfId="0" applyNumberFormat="1" applyFont="1" applyFill="1"/>
    <xf numFmtId="0" fontId="0" fillId="4" borderId="0" xfId="0" applyFill="1" applyBorder="1" applyAlignment="1">
      <alignment horizontal="center"/>
    </xf>
    <xf numFmtId="9" fontId="8" fillId="0" borderId="2" xfId="0" applyNumberFormat="1" applyFont="1" applyFill="1" applyBorder="1" applyAlignment="1">
      <alignment horizontal="center"/>
    </xf>
    <xf numFmtId="9" fontId="12" fillId="0" borderId="0" xfId="0" applyNumberFormat="1" applyFont="1"/>
    <xf numFmtId="9" fontId="12" fillId="0" borderId="0" xfId="0" applyNumberFormat="1" applyFont="1" applyFill="1"/>
    <xf numFmtId="9" fontId="9" fillId="0" borderId="5" xfId="1" applyNumberFormat="1" applyFont="1" applyBorder="1"/>
    <xf numFmtId="9" fontId="0" fillId="0" borderId="0" xfId="0" applyNumberFormat="1"/>
    <xf numFmtId="173" fontId="0" fillId="0" borderId="0" xfId="0" applyNumberFormat="1" applyAlignment="1">
      <alignment horizontal="center"/>
    </xf>
    <xf numFmtId="6" fontId="0" fillId="0" borderId="2" xfId="2" applyNumberFormat="1" applyFont="1" applyBorder="1" applyAlignment="1">
      <alignment horizontal="center"/>
    </xf>
    <xf numFmtId="0" fontId="49" fillId="0" borderId="0" xfId="0" applyFont="1" applyFill="1"/>
    <xf numFmtId="0" fontId="49" fillId="0" borderId="0" xfId="0" applyFont="1"/>
    <xf numFmtId="0" fontId="8" fillId="0" borderId="0" xfId="0" applyFont="1" applyFill="1" applyBorder="1" applyAlignment="1">
      <alignment wrapText="1"/>
    </xf>
    <xf numFmtId="0" fontId="36" fillId="13" borderId="0" xfId="0" applyFont="1" applyFill="1" applyBorder="1" applyAlignment="1"/>
    <xf numFmtId="0" fontId="50" fillId="10" borderId="0" xfId="0" applyFont="1" applyFill="1" applyBorder="1" applyAlignment="1">
      <alignment horizontal="left"/>
    </xf>
    <xf numFmtId="0" fontId="50" fillId="10" borderId="0" xfId="0" applyFont="1" applyFill="1" applyBorder="1" applyAlignment="1">
      <alignment horizontal="left" indent="1"/>
    </xf>
    <xf numFmtId="0" fontId="47" fillId="0" borderId="0" xfId="0" applyFont="1" applyBorder="1" applyAlignment="1">
      <alignment horizontal="left" indent="1"/>
    </xf>
    <xf numFmtId="0" fontId="50" fillId="9" borderId="0" xfId="0" applyFont="1" applyFill="1" applyBorder="1" applyAlignment="1">
      <alignment horizontal="left"/>
    </xf>
    <xf numFmtId="0" fontId="50" fillId="10" borderId="2" xfId="0" applyFont="1" applyFill="1" applyBorder="1" applyAlignment="1">
      <alignment horizontal="left"/>
    </xf>
    <xf numFmtId="0" fontId="36" fillId="0" borderId="0" xfId="0" applyFont="1" applyFill="1" applyBorder="1"/>
    <xf numFmtId="0" fontId="9" fillId="0" borderId="0" xfId="0" applyFont="1" applyFill="1" applyBorder="1"/>
    <xf numFmtId="0" fontId="8" fillId="0" borderId="0" xfId="3" applyFont="1" applyAlignment="1">
      <alignment horizontal="left"/>
    </xf>
    <xf numFmtId="164" fontId="8" fillId="0" borderId="0" xfId="4" applyNumberFormat="1" applyFont="1" applyFill="1" applyAlignment="1">
      <alignment horizontal="left"/>
    </xf>
    <xf numFmtId="0" fontId="9" fillId="0" borderId="0" xfId="3" applyFont="1" applyAlignment="1">
      <alignment horizontal="left"/>
    </xf>
    <xf numFmtId="164" fontId="8" fillId="0" borderId="0" xfId="4" applyNumberFormat="1" applyFont="1" applyFill="1" applyBorder="1" applyAlignment="1">
      <alignment vertical="top"/>
    </xf>
    <xf numFmtId="164" fontId="8" fillId="0" borderId="0" xfId="4" applyNumberFormat="1" applyFont="1" applyFill="1" applyBorder="1" applyAlignment="1"/>
    <xf numFmtId="0" fontId="8" fillId="0" borderId="0" xfId="3" applyFont="1" applyBorder="1"/>
    <xf numFmtId="0" fontId="8" fillId="0" borderId="0" xfId="3" applyFont="1" applyBorder="1" applyAlignment="1">
      <alignment vertical="top"/>
    </xf>
    <xf numFmtId="164" fontId="8" fillId="0" borderId="0" xfId="4" applyNumberFormat="1" applyFont="1" applyFill="1" applyBorder="1" applyAlignment="1">
      <alignment horizontal="left"/>
    </xf>
    <xf numFmtId="0" fontId="8" fillId="0" borderId="0" xfId="3" applyFont="1" applyBorder="1" applyAlignment="1">
      <alignment horizontal="left"/>
    </xf>
    <xf numFmtId="0" fontId="8" fillId="11" borderId="0" xfId="3" applyFont="1" applyFill="1" applyAlignment="1">
      <alignment horizontal="left"/>
    </xf>
    <xf numFmtId="0" fontId="8" fillId="0" borderId="2" xfId="3" applyFont="1" applyBorder="1" applyAlignment="1">
      <alignment horizontal="left"/>
    </xf>
    <xf numFmtId="0" fontId="32" fillId="8" borderId="0" xfId="3" applyFont="1" applyFill="1" applyAlignment="1">
      <alignment horizontal="left"/>
    </xf>
    <xf numFmtId="164" fontId="32" fillId="8" borderId="0" xfId="4" applyNumberFormat="1" applyFont="1" applyFill="1" applyAlignment="1">
      <alignment horizontal="left"/>
    </xf>
    <xf numFmtId="164" fontId="8" fillId="11" borderId="0" xfId="2" applyNumberFormat="1" applyFont="1" applyFill="1" applyAlignment="1">
      <alignment horizontal="left"/>
    </xf>
    <xf numFmtId="164" fontId="0" fillId="0" borderId="2" xfId="2" applyNumberFormat="1" applyFont="1" applyFill="1" applyBorder="1" applyAlignment="1">
      <alignment horizontal="center"/>
    </xf>
    <xf numFmtId="0" fontId="0" fillId="0" borderId="0" xfId="0" applyFont="1" applyFill="1" applyBorder="1"/>
    <xf numFmtId="0" fontId="0" fillId="0" borderId="2" xfId="0" applyFill="1" applyBorder="1" applyAlignment="1">
      <alignment horizontal="center"/>
    </xf>
    <xf numFmtId="0" fontId="32" fillId="8" borderId="0" xfId="0" applyFont="1" applyFill="1" applyBorder="1" applyAlignment="1">
      <alignment horizontal="center"/>
    </xf>
    <xf numFmtId="0" fontId="15" fillId="11" borderId="7" xfId="0" applyFont="1" applyFill="1" applyBorder="1"/>
    <xf numFmtId="0" fontId="0" fillId="11" borderId="7" xfId="0" applyFill="1" applyBorder="1" applyAlignment="1">
      <alignment horizontal="center"/>
    </xf>
    <xf numFmtId="0" fontId="15" fillId="11" borderId="0" xfId="0" applyFont="1" applyFill="1" applyBorder="1"/>
    <xf numFmtId="0" fontId="9" fillId="11" borderId="0" xfId="0" applyFont="1" applyFill="1" applyBorder="1" applyAlignment="1">
      <alignment horizontal="center"/>
    </xf>
    <xf numFmtId="0" fontId="31" fillId="8" borderId="0" xfId="0" applyFont="1" applyFill="1" applyBorder="1"/>
    <xf numFmtId="9" fontId="0" fillId="0" borderId="0" xfId="2" applyNumberFormat="1" applyFont="1" applyAlignment="1">
      <alignment horizontal="center"/>
    </xf>
    <xf numFmtId="0" fontId="36" fillId="8" borderId="7" xfId="0" applyFont="1" applyFill="1" applyBorder="1" applyAlignment="1">
      <alignment horizontal="center"/>
    </xf>
    <xf numFmtId="0" fontId="9" fillId="11" borderId="7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8" fillId="0" borderId="0" xfId="1" applyFont="1" applyBorder="1" applyAlignment="1">
      <alignment horizontal="center"/>
    </xf>
    <xf numFmtId="0" fontId="6" fillId="0" borderId="0" xfId="8" applyAlignment="1">
      <alignment horizontal="center"/>
    </xf>
    <xf numFmtId="6" fontId="8" fillId="0" borderId="0" xfId="0" applyNumberFormat="1" applyFont="1" applyFill="1" applyAlignment="1">
      <alignment horizontal="center"/>
    </xf>
    <xf numFmtId="164" fontId="25" fillId="0" borderId="0" xfId="2" applyNumberFormat="1" applyFont="1" applyFill="1"/>
    <xf numFmtId="0" fontId="24" fillId="0" borderId="0" xfId="6" applyFont="1" applyFill="1"/>
    <xf numFmtId="164" fontId="25" fillId="0" borderId="0" xfId="7" applyNumberFormat="1" applyFont="1" applyFill="1"/>
    <xf numFmtId="164" fontId="21" fillId="0" borderId="0" xfId="6" applyNumberFormat="1" applyFill="1"/>
    <xf numFmtId="164" fontId="23" fillId="0" borderId="0" xfId="7" applyNumberFormat="1" applyFont="1" applyFill="1"/>
    <xf numFmtId="43" fontId="23" fillId="0" borderId="0" xfId="7" applyFont="1" applyFill="1"/>
    <xf numFmtId="9" fontId="21" fillId="0" borderId="0" xfId="6" applyNumberFormat="1" applyFill="1"/>
    <xf numFmtId="43" fontId="0" fillId="0" borderId="0" xfId="7" applyFont="1" applyFill="1"/>
    <xf numFmtId="10" fontId="23" fillId="0" borderId="0" xfId="6" applyNumberFormat="1" applyFont="1" applyFill="1"/>
    <xf numFmtId="6" fontId="21" fillId="0" borderId="0" xfId="6" applyNumberFormat="1" applyFill="1"/>
    <xf numFmtId="6" fontId="13" fillId="0" borderId="0" xfId="8" applyNumberFormat="1" applyFont="1" applyFill="1"/>
    <xf numFmtId="164" fontId="12" fillId="0" borderId="0" xfId="8" applyNumberFormat="1" applyFont="1" applyFill="1"/>
    <xf numFmtId="0" fontId="6" fillId="0" borderId="0" xfId="8" applyFill="1"/>
    <xf numFmtId="0" fontId="0" fillId="0" borderId="2" xfId="0" applyFill="1" applyBorder="1"/>
    <xf numFmtId="187" fontId="0" fillId="0" borderId="0" xfId="0" applyNumberFormat="1" applyFill="1" applyBorder="1" applyAlignment="1">
      <alignment horizontal="center"/>
    </xf>
    <xf numFmtId="9" fontId="0" fillId="0" borderId="0" xfId="0" applyNumberFormat="1" applyAlignment="1">
      <alignment horizontal="center"/>
    </xf>
    <xf numFmtId="173" fontId="0" fillId="0" borderId="0" xfId="0" applyNumberFormat="1" applyFill="1" applyBorder="1" applyAlignment="1">
      <alignment horizontal="center"/>
    </xf>
    <xf numFmtId="182" fontId="0" fillId="0" borderId="2" xfId="0" applyNumberFormat="1" applyFill="1" applyBorder="1" applyAlignment="1">
      <alignment horizontal="center"/>
    </xf>
    <xf numFmtId="187" fontId="0" fillId="0" borderId="2" xfId="0" applyNumberFormat="1" applyFill="1" applyBorder="1" applyAlignment="1">
      <alignment horizontal="center"/>
    </xf>
    <xf numFmtId="0" fontId="48" fillId="0" borderId="0" xfId="0" applyFont="1"/>
    <xf numFmtId="194" fontId="0" fillId="0" borderId="0" xfId="2" applyNumberFormat="1" applyFont="1" applyFill="1" applyBorder="1" applyAlignment="1">
      <alignment horizontal="center"/>
    </xf>
    <xf numFmtId="3" fontId="32" fillId="0" borderId="0" xfId="0" applyNumberFormat="1" applyFont="1" applyFill="1"/>
    <xf numFmtId="3" fontId="8" fillId="0" borderId="0" xfId="0" applyNumberFormat="1" applyFont="1" applyFill="1"/>
    <xf numFmtId="0" fontId="32" fillId="0" borderId="0" xfId="0" applyFont="1" applyFill="1"/>
    <xf numFmtId="164" fontId="8" fillId="0" borderId="40" xfId="4" applyNumberFormat="1" applyFont="1" applyFill="1" applyBorder="1" applyAlignment="1">
      <alignment horizontal="left"/>
    </xf>
    <xf numFmtId="0" fontId="36" fillId="8" borderId="0" xfId="3" applyFont="1" applyFill="1" applyBorder="1" applyAlignment="1">
      <alignment horizontal="left"/>
    </xf>
    <xf numFmtId="164" fontId="36" fillId="8" borderId="0" xfId="4" applyNumberFormat="1" applyFont="1" applyFill="1" applyBorder="1" applyAlignment="1">
      <alignment horizontal="left"/>
    </xf>
    <xf numFmtId="165" fontId="36" fillId="8" borderId="0" xfId="4" applyNumberFormat="1" applyFont="1" applyFill="1" applyBorder="1" applyAlignment="1">
      <alignment horizontal="left"/>
    </xf>
    <xf numFmtId="166" fontId="36" fillId="8" borderId="0" xfId="5" applyNumberFormat="1" applyFont="1" applyFill="1" applyBorder="1" applyAlignment="1">
      <alignment horizontal="left"/>
    </xf>
    <xf numFmtId="0" fontId="8" fillId="0" borderId="0" xfId="3" applyFont="1" applyFill="1" applyBorder="1" applyAlignment="1">
      <alignment horizontal="left"/>
    </xf>
    <xf numFmtId="0" fontId="8" fillId="0" borderId="0" xfId="3" applyFont="1" applyBorder="1" applyAlignment="1">
      <alignment vertical="center"/>
    </xf>
    <xf numFmtId="6" fontId="8" fillId="0" borderId="0" xfId="3" applyNumberFormat="1" applyFont="1" applyBorder="1" applyAlignment="1">
      <alignment horizontal="right" vertical="top"/>
    </xf>
    <xf numFmtId="0" fontId="8" fillId="7" borderId="0" xfId="3" applyFont="1" applyFill="1" applyBorder="1" applyAlignment="1">
      <alignment horizontal="left"/>
    </xf>
    <xf numFmtId="0" fontId="47" fillId="0" borderId="0" xfId="3" applyFont="1" applyBorder="1"/>
    <xf numFmtId="0" fontId="55" fillId="0" borderId="0" xfId="3" applyFont="1" applyBorder="1"/>
    <xf numFmtId="1" fontId="8" fillId="0" borderId="0" xfId="3" applyNumberFormat="1" applyFont="1" applyBorder="1"/>
    <xf numFmtId="0" fontId="47" fillId="0" borderId="0" xfId="3" applyFont="1" applyFill="1" applyBorder="1"/>
    <xf numFmtId="0" fontId="8" fillId="11" borderId="0" xfId="3" applyFont="1" applyFill="1" applyBorder="1" applyAlignment="1">
      <alignment horizontal="left"/>
    </xf>
    <xf numFmtId="0" fontId="14" fillId="0" borderId="0" xfId="3" applyFont="1" applyBorder="1" applyAlignment="1">
      <alignment vertical="center"/>
    </xf>
    <xf numFmtId="0" fontId="32" fillId="0" borderId="2" xfId="0" applyFont="1" applyFill="1" applyBorder="1"/>
    <xf numFmtId="0" fontId="36" fillId="8" borderId="0" xfId="0" applyFont="1" applyFill="1"/>
    <xf numFmtId="3" fontId="36" fillId="0" borderId="0" xfId="0" applyNumberFormat="1" applyFont="1" applyFill="1"/>
    <xf numFmtId="0" fontId="36" fillId="0" borderId="0" xfId="0" applyFont="1"/>
    <xf numFmtId="0" fontId="2" fillId="0" borderId="0" xfId="11"/>
    <xf numFmtId="3" fontId="2" fillId="0" borderId="0" xfId="11" applyNumberFormat="1"/>
    <xf numFmtId="0" fontId="2" fillId="0" borderId="0" xfId="11" applyAlignment="1">
      <alignment horizontal="left" indent="1"/>
    </xf>
    <xf numFmtId="0" fontId="2" fillId="0" borderId="0" xfId="11" applyAlignment="1">
      <alignment horizontal="left"/>
    </xf>
    <xf numFmtId="0" fontId="2" fillId="0" borderId="5" xfId="11" applyBorder="1"/>
    <xf numFmtId="3" fontId="2" fillId="0" borderId="38" xfId="11" applyNumberFormat="1" applyBorder="1"/>
    <xf numFmtId="173" fontId="0" fillId="0" borderId="0" xfId="0" applyNumberFormat="1"/>
    <xf numFmtId="167" fontId="0" fillId="0" borderId="0" xfId="0" applyNumberFormat="1" applyAlignment="1">
      <alignment horizontal="center"/>
    </xf>
    <xf numFmtId="43" fontId="0" fillId="0" borderId="0" xfId="0" applyNumberFormat="1" applyAlignment="1">
      <alignment horizontal="center"/>
    </xf>
    <xf numFmtId="0" fontId="8" fillId="0" borderId="0" xfId="1" applyFont="1" applyBorder="1" applyAlignment="1">
      <alignment horizontal="right"/>
    </xf>
    <xf numFmtId="0" fontId="8" fillId="0" borderId="0" xfId="1" applyFont="1" applyFill="1" applyBorder="1" applyAlignment="1">
      <alignment horizontal="right"/>
    </xf>
    <xf numFmtId="5" fontId="8" fillId="0" borderId="0" xfId="1" applyNumberFormat="1" applyFont="1" applyFill="1" applyBorder="1" applyAlignment="1">
      <alignment horizontal="center"/>
    </xf>
    <xf numFmtId="0" fontId="8" fillId="0" borderId="0" xfId="1" applyFont="1" applyBorder="1" applyAlignment="1"/>
    <xf numFmtId="0" fontId="9" fillId="0" borderId="42" xfId="1" applyFont="1" applyBorder="1" applyAlignment="1"/>
    <xf numFmtId="0" fontId="8" fillId="0" borderId="42" xfId="1" applyFont="1" applyBorder="1" applyAlignment="1"/>
    <xf numFmtId="0" fontId="8" fillId="0" borderId="42" xfId="1" applyFont="1" applyBorder="1" applyAlignment="1">
      <alignment horizontal="right"/>
    </xf>
    <xf numFmtId="0" fontId="8" fillId="12" borderId="0" xfId="0" applyFont="1" applyFill="1" applyBorder="1"/>
    <xf numFmtId="0" fontId="50" fillId="12" borderId="0" xfId="0" applyFont="1" applyFill="1" applyBorder="1" applyAlignment="1">
      <alignment horizontal="left"/>
    </xf>
    <xf numFmtId="0" fontId="8" fillId="12" borderId="0" xfId="0" applyFont="1" applyFill="1"/>
    <xf numFmtId="9" fontId="56" fillId="0" borderId="0" xfId="0" applyNumberFormat="1" applyFont="1"/>
    <xf numFmtId="171" fontId="56" fillId="0" borderId="0" xfId="0" applyNumberFormat="1" applyFont="1" applyFill="1"/>
    <xf numFmtId="1" fontId="57" fillId="0" borderId="0" xfId="2" applyNumberFormat="1" applyFont="1" applyFill="1"/>
    <xf numFmtId="0" fontId="57" fillId="0" borderId="0" xfId="0" applyFont="1" applyFill="1"/>
    <xf numFmtId="10" fontId="57" fillId="0" borderId="0" xfId="0" applyNumberFormat="1" applyFont="1" applyFill="1"/>
    <xf numFmtId="173" fontId="57" fillId="0" borderId="0" xfId="0" applyNumberFormat="1" applyFont="1" applyFill="1"/>
    <xf numFmtId="174" fontId="58" fillId="0" borderId="11" xfId="0" applyNumberFormat="1" applyFont="1" applyBorder="1"/>
    <xf numFmtId="9" fontId="56" fillId="0" borderId="0" xfId="0" applyNumberFormat="1" applyFont="1" applyAlignment="1">
      <alignment horizontal="center"/>
    </xf>
    <xf numFmtId="0" fontId="56" fillId="0" borderId="0" xfId="0" applyFont="1" applyAlignment="1">
      <alignment horizontal="center"/>
    </xf>
    <xf numFmtId="173" fontId="56" fillId="0" borderId="0" xfId="0" applyNumberFormat="1" applyFont="1"/>
    <xf numFmtId="0" fontId="56" fillId="0" borderId="0" xfId="0" applyFont="1"/>
    <xf numFmtId="8" fontId="0" fillId="0" borderId="0" xfId="0" applyNumberFormat="1" applyAlignment="1">
      <alignment horizontal="center"/>
    </xf>
    <xf numFmtId="6" fontId="56" fillId="0" borderId="0" xfId="0" applyNumberFormat="1" applyFont="1" applyFill="1" applyAlignment="1">
      <alignment horizontal="center"/>
    </xf>
    <xf numFmtId="173" fontId="56" fillId="0" borderId="0" xfId="0" applyNumberFormat="1" applyFont="1" applyAlignment="1">
      <alignment horizontal="center"/>
    </xf>
    <xf numFmtId="175" fontId="0" fillId="0" borderId="2" xfId="0" applyNumberFormat="1" applyBorder="1" applyAlignment="1">
      <alignment horizontal="center"/>
    </xf>
    <xf numFmtId="175" fontId="0" fillId="0" borderId="0" xfId="0" applyNumberFormat="1" applyFill="1" applyAlignment="1">
      <alignment horizontal="center"/>
    </xf>
    <xf numFmtId="9" fontId="59" fillId="0" borderId="0" xfId="6" applyNumberFormat="1" applyFont="1" applyFill="1" applyAlignment="1">
      <alignment horizontal="center"/>
    </xf>
    <xf numFmtId="173" fontId="59" fillId="0" borderId="0" xfId="6" applyNumberFormat="1" applyFont="1"/>
    <xf numFmtId="178" fontId="59" fillId="0" borderId="0" xfId="6" applyNumberFormat="1" applyFont="1"/>
    <xf numFmtId="10" fontId="60" fillId="0" borderId="34" xfId="0" applyNumberFormat="1" applyFont="1" applyBorder="1" applyAlignment="1">
      <alignment horizontal="center"/>
    </xf>
    <xf numFmtId="9" fontId="59" fillId="0" borderId="0" xfId="6" applyNumberFormat="1" applyFont="1" applyFill="1"/>
    <xf numFmtId="43" fontId="59" fillId="0" borderId="0" xfId="7" applyFont="1" applyFill="1" applyBorder="1"/>
    <xf numFmtId="9" fontId="59" fillId="0" borderId="0" xfId="6" applyNumberFormat="1" applyFont="1"/>
    <xf numFmtId="0" fontId="59" fillId="0" borderId="0" xfId="6" applyFont="1"/>
    <xf numFmtId="183" fontId="59" fillId="0" borderId="0" xfId="6" applyNumberFormat="1" applyFont="1"/>
    <xf numFmtId="186" fontId="60" fillId="12" borderId="34" xfId="0" applyNumberFormat="1" applyFont="1" applyFill="1" applyBorder="1" applyAlignment="1">
      <alignment horizontal="center"/>
    </xf>
    <xf numFmtId="9" fontId="59" fillId="0" borderId="0" xfId="6" applyNumberFormat="1" applyFont="1" applyAlignment="1">
      <alignment horizontal="center"/>
    </xf>
    <xf numFmtId="6" fontId="59" fillId="0" borderId="1" xfId="6" applyNumberFormat="1" applyFont="1" applyBorder="1"/>
    <xf numFmtId="180" fontId="59" fillId="8" borderId="0" xfId="6" applyNumberFormat="1" applyFont="1" applyFill="1" applyAlignment="1">
      <alignment horizontal="center"/>
    </xf>
    <xf numFmtId="180" fontId="59" fillId="11" borderId="0" xfId="6" applyNumberFormat="1" applyFont="1" applyFill="1" applyAlignment="1">
      <alignment horizontal="center"/>
    </xf>
    <xf numFmtId="9" fontId="8" fillId="0" borderId="0" xfId="1" applyNumberFormat="1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36" fillId="13" borderId="0" xfId="0" applyFont="1" applyFill="1" applyBorder="1" applyAlignment="1">
      <alignment horizontal="right" wrapText="1"/>
    </xf>
    <xf numFmtId="0" fontId="51" fillId="10" borderId="0" xfId="0" applyFont="1" applyFill="1" applyBorder="1" applyAlignment="1">
      <alignment horizontal="right"/>
    </xf>
    <xf numFmtId="5" fontId="8" fillId="0" borderId="0" xfId="0" applyNumberFormat="1" applyFont="1" applyFill="1" applyBorder="1" applyAlignment="1">
      <alignment horizontal="right"/>
    </xf>
    <xf numFmtId="0" fontId="48" fillId="10" borderId="0" xfId="0" applyFont="1" applyFill="1" applyBorder="1" applyAlignment="1">
      <alignment horizontal="right"/>
    </xf>
    <xf numFmtId="5" fontId="8" fillId="12" borderId="0" xfId="0" applyNumberFormat="1" applyFont="1" applyFill="1" applyBorder="1" applyAlignment="1">
      <alignment horizontal="right"/>
    </xf>
    <xf numFmtId="6" fontId="8" fillId="9" borderId="0" xfId="0" applyNumberFormat="1" applyFont="1" applyFill="1" applyBorder="1" applyAlignment="1">
      <alignment horizontal="right"/>
    </xf>
    <xf numFmtId="6" fontId="8" fillId="0" borderId="0" xfId="0" applyNumberFormat="1" applyFont="1" applyFill="1" applyBorder="1" applyAlignment="1">
      <alignment horizontal="right"/>
    </xf>
    <xf numFmtId="5" fontId="8" fillId="0" borderId="2" xfId="0" applyNumberFormat="1" applyFont="1" applyFill="1" applyBorder="1" applyAlignment="1">
      <alignment horizontal="right"/>
    </xf>
    <xf numFmtId="0" fontId="54" fillId="0" borderId="0" xfId="0" applyFont="1" applyFill="1" applyBorder="1" applyAlignment="1">
      <alignment horizontal="right"/>
    </xf>
    <xf numFmtId="0" fontId="52" fillId="10" borderId="0" xfId="0" applyFont="1" applyFill="1" applyBorder="1" applyAlignment="1">
      <alignment horizontal="right"/>
    </xf>
    <xf numFmtId="0" fontId="53" fillId="10" borderId="0" xfId="0" applyFont="1" applyFill="1" applyBorder="1" applyAlignment="1">
      <alignment horizontal="right"/>
    </xf>
    <xf numFmtId="5" fontId="14" fillId="10" borderId="0" xfId="0" applyNumberFormat="1" applyFont="1" applyFill="1" applyBorder="1" applyAlignment="1">
      <alignment horizontal="right"/>
    </xf>
    <xf numFmtId="3" fontId="14" fillId="10" borderId="0" xfId="0" applyNumberFormat="1" applyFont="1" applyFill="1" applyBorder="1" applyAlignment="1">
      <alignment horizontal="right"/>
    </xf>
    <xf numFmtId="3" fontId="47" fillId="10" borderId="0" xfId="0" applyNumberFormat="1" applyFont="1" applyFill="1" applyBorder="1" applyAlignment="1">
      <alignment horizontal="right"/>
    </xf>
    <xf numFmtId="5" fontId="14" fillId="0" borderId="0" xfId="0" applyNumberFormat="1" applyFont="1" applyFill="1" applyBorder="1" applyAlignment="1">
      <alignment horizontal="right"/>
    </xf>
    <xf numFmtId="0" fontId="14" fillId="10" borderId="0" xfId="0" applyFont="1" applyFill="1" applyBorder="1" applyAlignment="1">
      <alignment horizontal="right"/>
    </xf>
    <xf numFmtId="0" fontId="47" fillId="10" borderId="0" xfId="0" applyFont="1" applyFill="1" applyBorder="1" applyAlignment="1">
      <alignment horizontal="right"/>
    </xf>
    <xf numFmtId="3" fontId="8" fillId="10" borderId="0" xfId="0" applyNumberFormat="1" applyFont="1" applyFill="1" applyBorder="1" applyAlignment="1">
      <alignment horizontal="right"/>
    </xf>
    <xf numFmtId="0" fontId="8" fillId="10" borderId="0" xfId="0" applyFont="1" applyFill="1" applyBorder="1" applyAlignment="1">
      <alignment horizontal="right"/>
    </xf>
    <xf numFmtId="1" fontId="8" fillId="10" borderId="0" xfId="0" applyNumberFormat="1" applyFont="1" applyFill="1" applyBorder="1" applyAlignment="1">
      <alignment horizontal="right"/>
    </xf>
    <xf numFmtId="1" fontId="47" fillId="10" borderId="0" xfId="0" applyNumberFormat="1" applyFont="1" applyFill="1" applyBorder="1" applyAlignment="1">
      <alignment horizontal="right"/>
    </xf>
    <xf numFmtId="5" fontId="48" fillId="10" borderId="0" xfId="0" applyNumberFormat="1" applyFont="1" applyFill="1" applyBorder="1" applyAlignment="1">
      <alignment horizontal="right"/>
    </xf>
    <xf numFmtId="1" fontId="8" fillId="12" borderId="0" xfId="0" applyNumberFormat="1" applyFont="1" applyFill="1" applyBorder="1" applyAlignment="1">
      <alignment horizontal="right"/>
    </xf>
    <xf numFmtId="3" fontId="47" fillId="12" borderId="0" xfId="0" applyNumberFormat="1" applyFont="1" applyFill="1" applyBorder="1" applyAlignment="1">
      <alignment horizontal="right"/>
    </xf>
    <xf numFmtId="0" fontId="8" fillId="9" borderId="0" xfId="0" applyFont="1" applyFill="1" applyBorder="1" applyAlignment="1">
      <alignment horizontal="right"/>
    </xf>
    <xf numFmtId="5" fontId="14" fillId="10" borderId="2" xfId="0" applyNumberFormat="1" applyFont="1" applyFill="1" applyBorder="1" applyAlignment="1">
      <alignment horizontal="right"/>
    </xf>
    <xf numFmtId="3" fontId="8" fillId="10" borderId="2" xfId="0" applyNumberFormat="1" applyFont="1" applyFill="1" applyBorder="1" applyAlignment="1">
      <alignment horizontal="right"/>
    </xf>
    <xf numFmtId="3" fontId="47" fillId="10" borderId="2" xfId="0" applyNumberFormat="1" applyFont="1" applyFill="1" applyBorder="1" applyAlignment="1">
      <alignment horizontal="right"/>
    </xf>
    <xf numFmtId="9" fontId="14" fillId="0" borderId="0" xfId="0" applyNumberFormat="1" applyFont="1" applyFill="1" applyBorder="1" applyAlignment="1">
      <alignment horizontal="right"/>
    </xf>
    <xf numFmtId="9" fontId="8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32" fillId="0" borderId="0" xfId="0" applyFont="1" applyFill="1" applyAlignment="1">
      <alignment horizontal="right"/>
    </xf>
    <xf numFmtId="0" fontId="32" fillId="0" borderId="0" xfId="0" applyFont="1" applyAlignment="1">
      <alignment horizontal="right"/>
    </xf>
    <xf numFmtId="195" fontId="36" fillId="8" borderId="0" xfId="0" applyNumberFormat="1" applyFont="1" applyFill="1" applyAlignment="1">
      <alignment horizontal="right"/>
    </xf>
    <xf numFmtId="3" fontId="36" fillId="0" borderId="0" xfId="0" applyNumberFormat="1" applyFont="1" applyFill="1" applyAlignment="1">
      <alignment horizontal="right"/>
    </xf>
    <xf numFmtId="0" fontId="36" fillId="0" borderId="0" xfId="0" applyFont="1" applyAlignment="1">
      <alignment horizontal="right"/>
    </xf>
    <xf numFmtId="0" fontId="9" fillId="11" borderId="0" xfId="0" applyFont="1" applyFill="1" applyAlignment="1">
      <alignment horizontal="right"/>
    </xf>
    <xf numFmtId="195" fontId="9" fillId="11" borderId="0" xfId="0" applyNumberFormat="1" applyFont="1" applyFill="1" applyAlignment="1">
      <alignment horizontal="right"/>
    </xf>
    <xf numFmtId="195" fontId="32" fillId="0" borderId="2" xfId="0" applyNumberFormat="1" applyFont="1" applyFill="1" applyBorder="1" applyAlignment="1">
      <alignment horizontal="right"/>
    </xf>
    <xf numFmtId="3" fontId="32" fillId="0" borderId="0" xfId="0" applyNumberFormat="1" applyFont="1" applyFill="1" applyBorder="1" applyAlignment="1">
      <alignment horizontal="right"/>
    </xf>
    <xf numFmtId="0" fontId="32" fillId="0" borderId="0" xfId="0" applyFont="1" applyFill="1" applyBorder="1" applyAlignment="1">
      <alignment horizontal="right"/>
    </xf>
    <xf numFmtId="0" fontId="8" fillId="0" borderId="2" xfId="0" applyFont="1" applyFill="1" applyBorder="1" applyAlignment="1">
      <alignment horizontal="right"/>
    </xf>
    <xf numFmtId="195" fontId="8" fillId="0" borderId="2" xfId="0" applyNumberFormat="1" applyFont="1" applyFill="1" applyBorder="1" applyAlignment="1">
      <alignment horizontal="right"/>
    </xf>
    <xf numFmtId="3" fontId="0" fillId="0" borderId="0" xfId="0" applyNumberFormat="1" applyAlignment="1">
      <alignment horizontal="right"/>
    </xf>
    <xf numFmtId="164" fontId="8" fillId="0" borderId="0" xfId="0" applyNumberFormat="1" applyFont="1" applyAlignment="1">
      <alignment horizontal="right"/>
    </xf>
    <xf numFmtId="3" fontId="32" fillId="0" borderId="0" xfId="0" applyNumberFormat="1" applyFont="1" applyFill="1" applyAlignment="1">
      <alignment horizontal="right"/>
    </xf>
    <xf numFmtId="1" fontId="0" fillId="0" borderId="0" xfId="0" applyNumberFormat="1" applyAlignment="1">
      <alignment horizontal="right"/>
    </xf>
    <xf numFmtId="6" fontId="0" fillId="0" borderId="0" xfId="0" applyNumberFormat="1" applyAlignment="1">
      <alignment horizontal="right"/>
    </xf>
    <xf numFmtId="44" fontId="0" fillId="0" borderId="36" xfId="0" applyNumberFormat="1" applyBorder="1" applyAlignment="1">
      <alignment horizontal="right"/>
    </xf>
    <xf numFmtId="44" fontId="0" fillId="0" borderId="37" xfId="0" applyNumberFormat="1" applyBorder="1" applyAlignment="1">
      <alignment horizontal="right"/>
    </xf>
    <xf numFmtId="44" fontId="0" fillId="0" borderId="38" xfId="0" applyNumberFormat="1" applyBorder="1" applyAlignment="1">
      <alignment horizontal="right"/>
    </xf>
    <xf numFmtId="0" fontId="0" fillId="0" borderId="0" xfId="0" applyAlignment="1">
      <alignment horizontal="left"/>
    </xf>
    <xf numFmtId="0" fontId="9" fillId="11" borderId="0" xfId="0" applyFont="1" applyFill="1" applyAlignment="1">
      <alignment horizontal="left"/>
    </xf>
    <xf numFmtId="0" fontId="8" fillId="0" borderId="2" xfId="0" applyFont="1" applyFill="1" applyBorder="1" applyAlignment="1">
      <alignment horizontal="left"/>
    </xf>
    <xf numFmtId="0" fontId="48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173" fontId="59" fillId="0" borderId="0" xfId="6" applyNumberFormat="1" applyFont="1" applyFill="1"/>
    <xf numFmtId="178" fontId="59" fillId="0" borderId="0" xfId="6" applyNumberFormat="1" applyFont="1" applyFill="1"/>
    <xf numFmtId="164" fontId="59" fillId="0" borderId="0" xfId="6" applyNumberFormat="1" applyFont="1" applyFill="1"/>
    <xf numFmtId="6" fontId="59" fillId="0" borderId="0" xfId="6" applyNumberFormat="1" applyFont="1" applyFill="1"/>
    <xf numFmtId="0" fontId="59" fillId="0" borderId="0" xfId="6" applyFont="1" applyFill="1"/>
    <xf numFmtId="183" fontId="59" fillId="0" borderId="0" xfId="6" applyNumberFormat="1" applyFont="1" applyFill="1"/>
    <xf numFmtId="182" fontId="57" fillId="0" borderId="0" xfId="8" applyNumberFormat="1" applyFont="1" applyFill="1" applyAlignment="1">
      <alignment horizontal="center"/>
    </xf>
    <xf numFmtId="9" fontId="57" fillId="0" borderId="0" xfId="8" applyNumberFormat="1" applyFont="1"/>
    <xf numFmtId="9" fontId="57" fillId="0" borderId="0" xfId="8" applyNumberFormat="1" applyFont="1" applyFill="1" applyAlignment="1">
      <alignment horizontal="center"/>
    </xf>
    <xf numFmtId="182" fontId="57" fillId="0" borderId="2" xfId="8" applyNumberFormat="1" applyFont="1" applyFill="1" applyBorder="1" applyAlignment="1">
      <alignment horizontal="center"/>
    </xf>
    <xf numFmtId="0" fontId="57" fillId="0" borderId="0" xfId="8" applyFont="1"/>
    <xf numFmtId="0" fontId="57" fillId="0" borderId="0" xfId="8" applyFont="1" applyFill="1"/>
    <xf numFmtId="9" fontId="57" fillId="0" borderId="0" xfId="8" applyNumberFormat="1" applyFont="1" applyFill="1"/>
    <xf numFmtId="173" fontId="57" fillId="0" borderId="0" xfId="8" applyNumberFormat="1" applyFont="1" applyFill="1"/>
    <xf numFmtId="43" fontId="57" fillId="0" borderId="0" xfId="9" applyFont="1" applyFill="1"/>
    <xf numFmtId="164" fontId="57" fillId="0" borderId="0" xfId="9" applyNumberFormat="1" applyFont="1" applyFill="1"/>
    <xf numFmtId="180" fontId="57" fillId="11" borderId="0" xfId="8" applyNumberFormat="1" applyFont="1" applyFill="1" applyAlignment="1">
      <alignment horizontal="center"/>
    </xf>
    <xf numFmtId="6" fontId="57" fillId="0" borderId="0" xfId="8" applyNumberFormat="1" applyFont="1"/>
    <xf numFmtId="0" fontId="57" fillId="0" borderId="0" xfId="8" applyFont="1" applyAlignment="1">
      <alignment horizontal="center"/>
    </xf>
    <xf numFmtId="10" fontId="57" fillId="0" borderId="0" xfId="8" applyNumberFormat="1" applyFont="1"/>
    <xf numFmtId="6" fontId="57" fillId="0" borderId="0" xfId="8" applyNumberFormat="1" applyFont="1" applyFill="1"/>
    <xf numFmtId="164" fontId="57" fillId="0" borderId="0" xfId="9" applyNumberFormat="1" applyFont="1"/>
    <xf numFmtId="180" fontId="57" fillId="8" borderId="0" xfId="8" applyNumberFormat="1" applyFont="1" applyFill="1" applyAlignment="1">
      <alignment horizontal="center"/>
    </xf>
    <xf numFmtId="165" fontId="40" fillId="0" borderId="0" xfId="2" applyNumberFormat="1" applyFont="1"/>
    <xf numFmtId="9" fontId="40" fillId="0" borderId="0" xfId="0" applyNumberFormat="1" applyFont="1"/>
    <xf numFmtId="173" fontId="40" fillId="0" borderId="0" xfId="0" applyNumberFormat="1" applyFont="1"/>
    <xf numFmtId="0" fontId="40" fillId="0" borderId="0" xfId="0" applyFont="1"/>
    <xf numFmtId="192" fontId="40" fillId="0" borderId="0" xfId="0" applyNumberFormat="1" applyFont="1"/>
    <xf numFmtId="191" fontId="40" fillId="0" borderId="0" xfId="0" applyNumberFormat="1" applyFont="1"/>
    <xf numFmtId="0" fontId="56" fillId="0" borderId="0" xfId="0" applyFont="1" applyAlignment="1"/>
    <xf numFmtId="1" fontId="56" fillId="0" borderId="0" xfId="2" applyNumberFormat="1" applyFont="1" applyFill="1" applyBorder="1" applyAlignment="1">
      <alignment horizontal="center"/>
    </xf>
    <xf numFmtId="9" fontId="56" fillId="0" borderId="0" xfId="0" applyNumberFormat="1" applyFont="1" applyFill="1" applyBorder="1" applyAlignment="1">
      <alignment horizontal="center"/>
    </xf>
    <xf numFmtId="6" fontId="57" fillId="0" borderId="0" xfId="0" applyNumberFormat="1" applyFont="1" applyFill="1" applyBorder="1" applyAlignment="1">
      <alignment horizontal="center"/>
    </xf>
    <xf numFmtId="9" fontId="56" fillId="3" borderId="5" xfId="0" applyNumberFormat="1" applyFont="1" applyFill="1" applyBorder="1"/>
    <xf numFmtId="9" fontId="56" fillId="0" borderId="0" xfId="0" applyNumberFormat="1" applyFont="1" applyFill="1"/>
    <xf numFmtId="193" fontId="56" fillId="10" borderId="0" xfId="0" applyNumberFormat="1" applyFont="1" applyFill="1" applyBorder="1" applyAlignment="1">
      <alignment horizontal="right"/>
    </xf>
    <xf numFmtId="3" fontId="56" fillId="10" borderId="0" xfId="0" applyNumberFormat="1" applyFont="1" applyFill="1" applyBorder="1" applyAlignment="1">
      <alignment horizontal="right"/>
    </xf>
    <xf numFmtId="5" fontId="56" fillId="10" borderId="0" xfId="0" applyNumberFormat="1" applyFont="1" applyFill="1" applyBorder="1" applyAlignment="1">
      <alignment horizontal="right"/>
    </xf>
    <xf numFmtId="3" fontId="56" fillId="0" borderId="0" xfId="0" applyNumberFormat="1" applyFont="1" applyFill="1" applyBorder="1" applyAlignment="1">
      <alignment horizontal="right"/>
    </xf>
    <xf numFmtId="5" fontId="56" fillId="0" borderId="0" xfId="0" applyNumberFormat="1" applyFont="1" applyFill="1" applyBorder="1" applyAlignment="1">
      <alignment horizontal="right"/>
    </xf>
    <xf numFmtId="0" fontId="56" fillId="10" borderId="0" xfId="0" applyFont="1" applyFill="1" applyBorder="1" applyAlignment="1">
      <alignment horizontal="right"/>
    </xf>
    <xf numFmtId="9" fontId="56" fillId="12" borderId="0" xfId="0" applyNumberFormat="1" applyFont="1" applyFill="1" applyBorder="1" applyAlignment="1">
      <alignment horizontal="right"/>
    </xf>
    <xf numFmtId="0" fontId="1" fillId="0" borderId="0" xfId="12"/>
    <xf numFmtId="0" fontId="1" fillId="12" borderId="0" xfId="12" applyFill="1"/>
    <xf numFmtId="0" fontId="1" fillId="14" borderId="0" xfId="12" applyFill="1"/>
    <xf numFmtId="196" fontId="1" fillId="12" borderId="0" xfId="12" applyNumberFormat="1" applyFill="1"/>
    <xf numFmtId="196" fontId="1" fillId="0" borderId="0" xfId="12" applyNumberFormat="1"/>
    <xf numFmtId="196" fontId="1" fillId="14" borderId="0" xfId="12" applyNumberFormat="1" applyFill="1"/>
    <xf numFmtId="3" fontId="1" fillId="12" borderId="0" xfId="12" applyNumberFormat="1" applyFill="1"/>
    <xf numFmtId="3" fontId="1" fillId="14" borderId="0" xfId="12" applyNumberFormat="1" applyFill="1"/>
    <xf numFmtId="3" fontId="1" fillId="0" borderId="0" xfId="12" applyNumberFormat="1"/>
    <xf numFmtId="10" fontId="16" fillId="12" borderId="0" xfId="13" applyNumberFormat="1" applyFont="1" applyFill="1"/>
    <xf numFmtId="10" fontId="16" fillId="14" borderId="0" xfId="13" applyNumberFormat="1" applyFont="1" applyFill="1"/>
    <xf numFmtId="0" fontId="15" fillId="12" borderId="0" xfId="12" applyFont="1" applyFill="1"/>
    <xf numFmtId="3" fontId="15" fillId="12" borderId="0" xfId="12" applyNumberFormat="1" applyFont="1" applyFill="1"/>
    <xf numFmtId="10" fontId="61" fillId="0" borderId="0" xfId="12" applyNumberFormat="1" applyFont="1"/>
    <xf numFmtId="0" fontId="15" fillId="14" borderId="0" xfId="12" applyFont="1" applyFill="1"/>
    <xf numFmtId="3" fontId="15" fillId="14" borderId="0" xfId="12" applyNumberFormat="1" applyFont="1" applyFill="1"/>
    <xf numFmtId="0" fontId="15" fillId="0" borderId="0" xfId="12" applyFont="1"/>
    <xf numFmtId="3" fontId="15" fillId="0" borderId="0" xfId="12" applyNumberFormat="1" applyFont="1"/>
    <xf numFmtId="0" fontId="15" fillId="0" borderId="2" xfId="0" applyFont="1" applyBorder="1"/>
    <xf numFmtId="0" fontId="1" fillId="12" borderId="0" xfId="12" applyFill="1" applyAlignment="1">
      <alignment horizontal="right"/>
    </xf>
    <xf numFmtId="0" fontId="1" fillId="14" borderId="0" xfId="12" applyFill="1" applyAlignment="1">
      <alignment horizontal="right"/>
    </xf>
    <xf numFmtId="3" fontId="1" fillId="12" borderId="0" xfId="12" applyNumberFormat="1" applyFill="1" applyAlignment="1">
      <alignment horizontal="right"/>
    </xf>
    <xf numFmtId="3" fontId="1" fillId="14" borderId="0" xfId="12" applyNumberFormat="1" applyFill="1" applyAlignment="1">
      <alignment horizontal="right"/>
    </xf>
    <xf numFmtId="10" fontId="56" fillId="0" borderId="0" xfId="0" applyNumberFormat="1" applyFont="1" applyAlignment="1">
      <alignment horizontal="center"/>
    </xf>
    <xf numFmtId="193" fontId="8" fillId="10" borderId="0" xfId="0" applyNumberFormat="1" applyFont="1" applyFill="1" applyBorder="1" applyAlignment="1">
      <alignment horizontal="right"/>
    </xf>
    <xf numFmtId="0" fontId="8" fillId="0" borderId="0" xfId="3" applyFont="1" applyAlignment="1"/>
    <xf numFmtId="166" fontId="36" fillId="8" borderId="0" xfId="5" applyNumberFormat="1" applyFont="1" applyFill="1" applyBorder="1" applyAlignment="1"/>
    <xf numFmtId="6" fontId="14" fillId="0" borderId="0" xfId="3" applyNumberFormat="1" applyFont="1" applyBorder="1" applyAlignment="1"/>
    <xf numFmtId="6" fontId="14" fillId="0" borderId="0" xfId="3" applyNumberFormat="1" applyFont="1" applyBorder="1" applyAlignment="1">
      <alignment vertical="top"/>
    </xf>
    <xf numFmtId="6" fontId="14" fillId="0" borderId="0" xfId="3" applyNumberFormat="1" applyFont="1" applyBorder="1" applyAlignment="1">
      <alignment vertical="center"/>
    </xf>
    <xf numFmtId="0" fontId="14" fillId="0" borderId="0" xfId="3" applyFont="1" applyBorder="1" applyAlignment="1"/>
    <xf numFmtId="164" fontId="32" fillId="8" borderId="0" xfId="4" applyNumberFormat="1" applyFont="1" applyFill="1" applyAlignment="1"/>
    <xf numFmtId="164" fontId="8" fillId="11" borderId="0" xfId="2" applyNumberFormat="1" applyFont="1" applyFill="1" applyAlignment="1"/>
    <xf numFmtId="0" fontId="8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/>
    </xf>
    <xf numFmtId="6" fontId="8" fillId="0" borderId="0" xfId="1" applyNumberFormat="1" applyFont="1" applyBorder="1" applyAlignment="1">
      <alignment horizontal="center"/>
    </xf>
    <xf numFmtId="0" fontId="8" fillId="0" borderId="0" xfId="1" applyFont="1" applyBorder="1" applyAlignment="1">
      <alignment horizontal="center"/>
    </xf>
    <xf numFmtId="9" fontId="8" fillId="0" borderId="0" xfId="1" applyNumberFormat="1" applyFont="1" applyBorder="1" applyAlignment="1">
      <alignment horizontal="center"/>
    </xf>
    <xf numFmtId="0" fontId="9" fillId="0" borderId="42" xfId="1" applyFont="1" applyBorder="1" applyAlignment="1">
      <alignment vertical="center"/>
    </xf>
    <xf numFmtId="0" fontId="8" fillId="0" borderId="42" xfId="1" applyFont="1" applyBorder="1" applyAlignment="1"/>
    <xf numFmtId="5" fontId="8" fillId="0" borderId="0" xfId="1" applyNumberFormat="1" applyFont="1" applyFill="1" applyBorder="1" applyAlignment="1">
      <alignment horizontal="center"/>
    </xf>
    <xf numFmtId="0" fontId="8" fillId="0" borderId="42" xfId="1" applyFont="1" applyBorder="1" applyAlignment="1">
      <alignment horizontal="right"/>
    </xf>
    <xf numFmtId="9" fontId="8" fillId="0" borderId="43" xfId="1" applyNumberFormat="1" applyFont="1" applyBorder="1" applyAlignment="1">
      <alignment horizontal="center"/>
    </xf>
    <xf numFmtId="5" fontId="8" fillId="0" borderId="0" xfId="1" applyNumberFormat="1" applyFont="1" applyBorder="1" applyAlignment="1">
      <alignment horizontal="center"/>
    </xf>
    <xf numFmtId="0" fontId="8" fillId="0" borderId="0" xfId="1" applyFont="1" applyBorder="1" applyAlignment="1">
      <alignment horizontal="right"/>
    </xf>
    <xf numFmtId="0" fontId="8" fillId="0" borderId="0" xfId="1" applyFont="1" applyBorder="1" applyAlignment="1"/>
    <xf numFmtId="5" fontId="8" fillId="0" borderId="37" xfId="1" applyNumberFormat="1" applyFont="1" applyBorder="1" applyAlignment="1">
      <alignment horizontal="center"/>
    </xf>
    <xf numFmtId="5" fontId="8" fillId="0" borderId="38" xfId="1" applyNumberFormat="1" applyFont="1" applyBorder="1" applyAlignment="1">
      <alignment horizontal="center"/>
    </xf>
    <xf numFmtId="0" fontId="8" fillId="0" borderId="0" xfId="1" applyFont="1" applyFill="1" applyBorder="1" applyAlignment="1">
      <alignment horizontal="right"/>
    </xf>
    <xf numFmtId="5" fontId="8" fillId="0" borderId="43" xfId="1" applyNumberFormat="1" applyFont="1" applyBorder="1" applyAlignment="1">
      <alignment horizontal="center"/>
    </xf>
    <xf numFmtId="0" fontId="9" fillId="0" borderId="42" xfId="1" applyFont="1" applyBorder="1" applyAlignment="1"/>
    <xf numFmtId="0" fontId="9" fillId="0" borderId="42" xfId="1" applyFont="1" applyBorder="1" applyAlignment="1">
      <alignment horizontal="center" wrapText="1"/>
    </xf>
    <xf numFmtId="0" fontId="36" fillId="13" borderId="0" xfId="1" applyFont="1" applyFill="1" applyBorder="1" applyAlignment="1">
      <alignment vertical="center"/>
    </xf>
    <xf numFmtId="0" fontId="32" fillId="13" borderId="0" xfId="1" applyFont="1" applyFill="1" applyBorder="1" applyAlignment="1">
      <alignment vertical="center"/>
    </xf>
    <xf numFmtId="0" fontId="8" fillId="0" borderId="0" xfId="1" applyFont="1" applyFill="1" applyBorder="1" applyAlignment="1">
      <alignment horizontal="center"/>
    </xf>
    <xf numFmtId="9" fontId="8" fillId="0" borderId="0" xfId="1" applyNumberFormat="1" applyFont="1" applyFill="1" applyBorder="1" applyAlignment="1">
      <alignment horizontal="center"/>
    </xf>
    <xf numFmtId="5" fontId="8" fillId="0" borderId="43" xfId="1" applyNumberFormat="1" applyFont="1" applyFill="1" applyBorder="1" applyAlignment="1">
      <alignment horizontal="center"/>
    </xf>
    <xf numFmtId="0" fontId="8" fillId="0" borderId="18" xfId="1" applyFont="1" applyBorder="1" applyAlignment="1">
      <alignment horizontal="right"/>
    </xf>
    <xf numFmtId="0" fontId="9" fillId="0" borderId="0" xfId="1" applyFont="1" applyBorder="1" applyAlignment="1">
      <alignment horizontal="center"/>
    </xf>
    <xf numFmtId="0" fontId="36" fillId="13" borderId="39" xfId="1" applyFont="1" applyFill="1" applyBorder="1" applyAlignment="1">
      <alignment horizontal="center" vertical="center"/>
    </xf>
    <xf numFmtId="0" fontId="36" fillId="13" borderId="40" xfId="1" applyFont="1" applyFill="1" applyBorder="1" applyAlignment="1">
      <alignment horizontal="center" vertical="center"/>
    </xf>
    <xf numFmtId="0" fontId="8" fillId="0" borderId="2" xfId="1" applyFont="1" applyBorder="1" applyAlignment="1">
      <alignment horizontal="right"/>
    </xf>
    <xf numFmtId="0" fontId="9" fillId="0" borderId="0" xfId="1" applyFont="1" applyFill="1" applyBorder="1" applyAlignment="1">
      <alignment horizontal="center"/>
    </xf>
    <xf numFmtId="0" fontId="9" fillId="0" borderId="0" xfId="1" applyFont="1" applyBorder="1" applyAlignment="1">
      <alignment horizontal="left"/>
    </xf>
    <xf numFmtId="0" fontId="9" fillId="0" borderId="2" xfId="1" applyFont="1" applyBorder="1" applyAlignment="1">
      <alignment horizontal="left"/>
    </xf>
    <xf numFmtId="0" fontId="9" fillId="0" borderId="41" xfId="1" applyFont="1" applyBorder="1" applyAlignment="1">
      <alignment horizontal="left"/>
    </xf>
    <xf numFmtId="0" fontId="9" fillId="0" borderId="42" xfId="1" applyFont="1" applyBorder="1" applyAlignment="1">
      <alignment horizontal="left" wrapText="1"/>
    </xf>
    <xf numFmtId="0" fontId="9" fillId="0" borderId="2" xfId="1" applyFont="1" applyBorder="1" applyAlignment="1">
      <alignment horizontal="right"/>
    </xf>
    <xf numFmtId="0" fontId="36" fillId="13" borderId="0" xfId="1" applyFont="1" applyFill="1" applyBorder="1" applyAlignment="1">
      <alignment horizontal="left" vertical="center"/>
    </xf>
    <xf numFmtId="9" fontId="8" fillId="0" borderId="37" xfId="1" applyNumberFormat="1" applyFont="1" applyBorder="1" applyAlignment="1">
      <alignment horizontal="center"/>
    </xf>
    <xf numFmtId="9" fontId="8" fillId="0" borderId="38" xfId="1" applyNumberFormat="1" applyFont="1" applyBorder="1" applyAlignment="1">
      <alignment horizontal="center"/>
    </xf>
    <xf numFmtId="6" fontId="8" fillId="0" borderId="37" xfId="1" applyNumberFormat="1" applyFont="1" applyBorder="1" applyAlignment="1">
      <alignment horizontal="center"/>
    </xf>
    <xf numFmtId="0" fontId="9" fillId="0" borderId="36" xfId="1" applyFont="1" applyBorder="1" applyAlignment="1">
      <alignment horizontal="left"/>
    </xf>
    <xf numFmtId="0" fontId="9" fillId="0" borderId="37" xfId="1" applyFont="1" applyBorder="1" applyAlignment="1">
      <alignment horizontal="left"/>
    </xf>
    <xf numFmtId="0" fontId="2" fillId="0" borderId="0" xfId="11" applyAlignment="1">
      <alignment horizontal="center" vertical="center"/>
    </xf>
    <xf numFmtId="0" fontId="6" fillId="0" borderId="0" xfId="8" applyAlignment="1">
      <alignment horizontal="center"/>
    </xf>
    <xf numFmtId="0" fontId="6" fillId="0" borderId="0" xfId="8" applyAlignment="1">
      <alignment horizontal="center" vertical="center" textRotation="90"/>
    </xf>
  </cellXfs>
  <cellStyles count="14">
    <cellStyle name="Comma" xfId="2" builtinId="3"/>
    <cellStyle name="Comma 2" xfId="4" xr:uid="{670F1EB5-B515-423B-A658-6DF9F6A6C0A7}"/>
    <cellStyle name="Comma 3" xfId="7" xr:uid="{4744B1FC-65DB-41C0-8033-6654C45CD065}"/>
    <cellStyle name="Comma 4" xfId="9" xr:uid="{F92C5A9F-92BF-41D1-AE29-E1A462E794CD}"/>
    <cellStyle name="Currency 2" xfId="5" xr:uid="{3F698194-9B53-43CB-95D7-F6E7052595B9}"/>
    <cellStyle name="Normal" xfId="0" builtinId="0"/>
    <cellStyle name="Normal 2" xfId="1" xr:uid="{00000000-0005-0000-0000-000001000000}"/>
    <cellStyle name="Normal 3" xfId="3" xr:uid="{3F6848C3-8C06-4D0D-AFCC-4AD29BADD754}"/>
    <cellStyle name="Normal 4" xfId="6" xr:uid="{210D67B5-2513-4975-8406-A43FC9540AB0}"/>
    <cellStyle name="Normal 5" xfId="8" xr:uid="{BB2D3C40-10CB-4637-B6A7-89A3616F4426}"/>
    <cellStyle name="Normal 6" xfId="11" xr:uid="{C8998FCE-AEBD-4816-B8F1-933AE3A86B4B}"/>
    <cellStyle name="Normal 7" xfId="12" xr:uid="{59A93506-4704-412E-B433-1A5077173841}"/>
    <cellStyle name="Percent" xfId="10" builtinId="5"/>
    <cellStyle name="Percent 2" xfId="13" xr:uid="{9DC07112-D00E-4713-A76A-46552C43F5CC}"/>
  </cellStyles>
  <dxfs count="4">
    <dxf>
      <font>
        <color rgb="FFFF0000"/>
      </font>
    </dxf>
    <dxf>
      <font>
        <strike val="0"/>
        <color theme="0" tint="-0.14996795556505021"/>
      </font>
      <fill>
        <patternFill>
          <bgColor theme="0"/>
        </patternFill>
      </fill>
    </dxf>
    <dxf>
      <font>
        <color rgb="FFFF0000"/>
      </font>
    </dxf>
    <dxf>
      <font>
        <strike val="0"/>
        <color theme="0" tint="-0.14996795556505021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0000FF"/>
      <color rgb="FFF7EFD5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1</xdr:row>
      <xdr:rowOff>29524</xdr:rowOff>
    </xdr:from>
    <xdr:to>
      <xdr:col>2</xdr:col>
      <xdr:colOff>1419226</xdr:colOff>
      <xdr:row>6</xdr:row>
      <xdr:rowOff>91400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6747CF-2C1B-4D89-9B5D-962C64D0F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1" y="200974"/>
          <a:ext cx="2095500" cy="9191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28575</xdr:rowOff>
    </xdr:from>
    <xdr:to>
      <xdr:col>5</xdr:col>
      <xdr:colOff>561975</xdr:colOff>
      <xdr:row>5</xdr:row>
      <xdr:rowOff>147601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FA18A7-FD80-47B4-83AE-21B43EC45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28600"/>
          <a:ext cx="2095500" cy="91912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5</xdr:col>
      <xdr:colOff>561975</xdr:colOff>
      <xdr:row>5</xdr:row>
      <xdr:rowOff>138076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6BAA01-254E-4D8D-A62F-81CFD1A45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19075"/>
          <a:ext cx="2095500" cy="91912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28575</xdr:rowOff>
    </xdr:from>
    <xdr:to>
      <xdr:col>6</xdr:col>
      <xdr:colOff>561975</xdr:colOff>
      <xdr:row>6</xdr:row>
      <xdr:rowOff>42826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3A0E6E-5EDF-42A6-8A5B-9E251E4AA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209550"/>
          <a:ext cx="2095500" cy="91912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6</xdr:col>
      <xdr:colOff>561975</xdr:colOff>
      <xdr:row>6</xdr:row>
      <xdr:rowOff>33301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44DAC3-D09F-4131-BC7F-43CED206C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200025"/>
          <a:ext cx="2095500" cy="91912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28575</xdr:rowOff>
    </xdr:from>
    <xdr:to>
      <xdr:col>3</xdr:col>
      <xdr:colOff>9525</xdr:colOff>
      <xdr:row>6</xdr:row>
      <xdr:rowOff>90451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6AF7ED-28D5-43F3-8A7B-8E5F60EC9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00025"/>
          <a:ext cx="2095500" cy="91912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19050</xdr:rowOff>
    </xdr:from>
    <xdr:to>
      <xdr:col>2</xdr:col>
      <xdr:colOff>1504950</xdr:colOff>
      <xdr:row>6</xdr:row>
      <xdr:rowOff>80926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E318EF-4005-45EB-B855-86D20AF3C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190500"/>
          <a:ext cx="2095500" cy="91912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28575</xdr:rowOff>
    </xdr:from>
    <xdr:to>
      <xdr:col>5</xdr:col>
      <xdr:colOff>552450</xdr:colOff>
      <xdr:row>5</xdr:row>
      <xdr:rowOff>147601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644B92-37BA-46C9-8BCD-5DB37AEFB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28600"/>
          <a:ext cx="2095500" cy="91912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5</xdr:col>
      <xdr:colOff>561975</xdr:colOff>
      <xdr:row>5</xdr:row>
      <xdr:rowOff>138076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FB65EB-D0A0-4DB6-9BD1-770F8C02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19075"/>
          <a:ext cx="2095500" cy="91912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28575</xdr:rowOff>
    </xdr:from>
    <xdr:to>
      <xdr:col>6</xdr:col>
      <xdr:colOff>552450</xdr:colOff>
      <xdr:row>6</xdr:row>
      <xdr:rowOff>42826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C3964A-F0DB-418E-9A33-EB8C41097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209550"/>
          <a:ext cx="2095500" cy="91912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6</xdr:col>
      <xdr:colOff>561975</xdr:colOff>
      <xdr:row>6</xdr:row>
      <xdr:rowOff>33301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78D2EF-98B7-419C-8B4C-7743C96EA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200025"/>
          <a:ext cx="2095500" cy="9191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28575</xdr:rowOff>
    </xdr:from>
    <xdr:to>
      <xdr:col>1</xdr:col>
      <xdr:colOff>2124075</xdr:colOff>
      <xdr:row>6</xdr:row>
      <xdr:rowOff>90451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0FF020-CB08-4CDE-8A22-C900F029C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00025"/>
          <a:ext cx="2095500" cy="91912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6</xdr:col>
      <xdr:colOff>561975</xdr:colOff>
      <xdr:row>6</xdr:row>
      <xdr:rowOff>33301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1413C7-FC8D-472A-90FC-CD877079C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200025"/>
          <a:ext cx="2095500" cy="9191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</xdr:colOff>
      <xdr:row>1</xdr:row>
      <xdr:rowOff>15240</xdr:rowOff>
    </xdr:from>
    <xdr:to>
      <xdr:col>3</xdr:col>
      <xdr:colOff>493395</xdr:colOff>
      <xdr:row>6</xdr:row>
      <xdr:rowOff>77116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D3C7F0-ADC0-4B98-B694-8DB362765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695" y="182880"/>
          <a:ext cx="2095500" cy="900076"/>
        </a:xfrm>
        <a:prstGeom prst="rect">
          <a:avLst/>
        </a:prstGeom>
      </xdr:spPr>
    </xdr:pic>
    <xdr:clientData/>
  </xdr:twoCellAnchor>
  <xdr:twoCellAnchor editAs="oneCell">
    <xdr:from>
      <xdr:col>4</xdr:col>
      <xdr:colOff>160021</xdr:colOff>
      <xdr:row>7</xdr:row>
      <xdr:rowOff>68580</xdr:rowOff>
    </xdr:from>
    <xdr:to>
      <xdr:col>4</xdr:col>
      <xdr:colOff>785845</xdr:colOff>
      <xdr:row>10</xdr:row>
      <xdr:rowOff>75843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615DC0-E851-445F-A15C-EF6FDE89D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96541" y="1242060"/>
          <a:ext cx="625824" cy="51018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114301</xdr:colOff>
      <xdr:row>7</xdr:row>
      <xdr:rowOff>50854</xdr:rowOff>
    </xdr:from>
    <xdr:to>
      <xdr:col>6</xdr:col>
      <xdr:colOff>1</xdr:colOff>
      <xdr:row>10</xdr:row>
      <xdr:rowOff>91083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E06824-378F-4B95-9C43-8B130F428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58541" y="1224334"/>
          <a:ext cx="693420" cy="543149"/>
        </a:xfrm>
        <a:prstGeom prst="rect">
          <a:avLst/>
        </a:prstGeom>
      </xdr:spPr>
    </xdr:pic>
    <xdr:clientData/>
  </xdr:twoCellAnchor>
  <xdr:twoCellAnchor editAs="oneCell">
    <xdr:from>
      <xdr:col>6</xdr:col>
      <xdr:colOff>91440</xdr:colOff>
      <xdr:row>7</xdr:row>
      <xdr:rowOff>7620</xdr:rowOff>
    </xdr:from>
    <xdr:to>
      <xdr:col>6</xdr:col>
      <xdr:colOff>755088</xdr:colOff>
      <xdr:row>10</xdr:row>
      <xdr:rowOff>83463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9FB05D0-6AFD-4596-A400-AC18A4DA0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43400" y="1181100"/>
          <a:ext cx="663648" cy="578763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</xdr:colOff>
      <xdr:row>7</xdr:row>
      <xdr:rowOff>144781</xdr:rowOff>
    </xdr:from>
    <xdr:to>
      <xdr:col>8</xdr:col>
      <xdr:colOff>207656</xdr:colOff>
      <xdr:row>10</xdr:row>
      <xdr:rowOff>68223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E2C8C89-87E0-4784-9778-EA1434494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90160" y="1318261"/>
          <a:ext cx="984896" cy="426362"/>
        </a:xfrm>
        <a:prstGeom prst="rect">
          <a:avLst/>
        </a:prstGeom>
      </xdr:spPr>
    </xdr:pic>
    <xdr:clientData/>
  </xdr:twoCellAnchor>
  <xdr:twoCellAnchor editAs="oneCell">
    <xdr:from>
      <xdr:col>13</xdr:col>
      <xdr:colOff>198121</xdr:colOff>
      <xdr:row>7</xdr:row>
      <xdr:rowOff>7619</xdr:rowOff>
    </xdr:from>
    <xdr:to>
      <xdr:col>14</xdr:col>
      <xdr:colOff>788344</xdr:colOff>
      <xdr:row>10</xdr:row>
      <xdr:rowOff>98702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54BBF01-4208-426D-9587-9A349A98B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84081" y="1181099"/>
          <a:ext cx="795963" cy="594003"/>
        </a:xfrm>
        <a:prstGeom prst="rect">
          <a:avLst/>
        </a:prstGeom>
      </xdr:spPr>
    </xdr:pic>
    <xdr:clientData/>
  </xdr:twoCellAnchor>
  <xdr:twoCellAnchor editAs="oneCell">
    <xdr:from>
      <xdr:col>8</xdr:col>
      <xdr:colOff>220980</xdr:colOff>
      <xdr:row>8</xdr:row>
      <xdr:rowOff>76200</xdr:rowOff>
    </xdr:from>
    <xdr:to>
      <xdr:col>9</xdr:col>
      <xdr:colOff>33984</xdr:colOff>
      <xdr:row>10</xdr:row>
      <xdr:rowOff>75843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1F857C4-E213-4814-A7AF-AF201A048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88380" y="1417320"/>
          <a:ext cx="620724" cy="334923"/>
        </a:xfrm>
        <a:prstGeom prst="rect">
          <a:avLst/>
        </a:prstGeom>
      </xdr:spPr>
    </xdr:pic>
    <xdr:clientData/>
  </xdr:twoCellAnchor>
  <xdr:twoCellAnchor editAs="oneCell">
    <xdr:from>
      <xdr:col>15</xdr:col>
      <xdr:colOff>87633</xdr:colOff>
      <xdr:row>6</xdr:row>
      <xdr:rowOff>152400</xdr:rowOff>
    </xdr:from>
    <xdr:to>
      <xdr:col>15</xdr:col>
      <xdr:colOff>751514</xdr:colOff>
      <xdr:row>10</xdr:row>
      <xdr:rowOff>85368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921EB4C-D088-45CB-AF03-AC553801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687053" y="1158240"/>
          <a:ext cx="663881" cy="603528"/>
        </a:xfrm>
        <a:prstGeom prst="rect">
          <a:avLst/>
        </a:prstGeom>
      </xdr:spPr>
    </xdr:pic>
    <xdr:clientData/>
  </xdr:twoCellAnchor>
  <xdr:twoCellAnchor editAs="oneCell">
    <xdr:from>
      <xdr:col>16</xdr:col>
      <xdr:colOff>53341</xdr:colOff>
      <xdr:row>6</xdr:row>
      <xdr:rowOff>80197</xdr:rowOff>
    </xdr:from>
    <xdr:to>
      <xdr:col>17</xdr:col>
      <xdr:colOff>22861</xdr:colOff>
      <xdr:row>10</xdr:row>
      <xdr:rowOff>75843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DBA28B6-2FA5-4E53-8742-530248BD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60481" y="1086037"/>
          <a:ext cx="777240" cy="666206"/>
        </a:xfrm>
        <a:prstGeom prst="rect">
          <a:avLst/>
        </a:prstGeom>
      </xdr:spPr>
    </xdr:pic>
    <xdr:clientData/>
  </xdr:twoCellAnchor>
  <xdr:twoCellAnchor editAs="oneCell">
    <xdr:from>
      <xdr:col>17</xdr:col>
      <xdr:colOff>118111</xdr:colOff>
      <xdr:row>6</xdr:row>
      <xdr:rowOff>41624</xdr:rowOff>
    </xdr:from>
    <xdr:to>
      <xdr:col>18</xdr:col>
      <xdr:colOff>1</xdr:colOff>
      <xdr:row>10</xdr:row>
      <xdr:rowOff>79653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CE0954C-AA03-458E-A932-430D8F026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32971" y="1047464"/>
          <a:ext cx="758190" cy="708589"/>
        </a:xfrm>
        <a:prstGeom prst="rect">
          <a:avLst/>
        </a:prstGeom>
      </xdr:spPr>
    </xdr:pic>
    <xdr:clientData/>
  </xdr:twoCellAnchor>
  <xdr:twoCellAnchor editAs="oneCell">
    <xdr:from>
      <xdr:col>18</xdr:col>
      <xdr:colOff>100966</xdr:colOff>
      <xdr:row>8</xdr:row>
      <xdr:rowOff>30480</xdr:rowOff>
    </xdr:from>
    <xdr:to>
      <xdr:col>18</xdr:col>
      <xdr:colOff>725318</xdr:colOff>
      <xdr:row>10</xdr:row>
      <xdr:rowOff>56794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089AC-D184-4DA1-ACEB-E629CA144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192126" y="1371600"/>
          <a:ext cx="624352" cy="361594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7</xdr:row>
      <xdr:rowOff>30480</xdr:rowOff>
    </xdr:from>
    <xdr:to>
      <xdr:col>3</xdr:col>
      <xdr:colOff>724387</xdr:colOff>
      <xdr:row>10</xdr:row>
      <xdr:rowOff>87273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E15C82-B485-4F99-90F6-8E21CD963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43100" y="1203960"/>
          <a:ext cx="610087" cy="559713"/>
        </a:xfrm>
        <a:prstGeom prst="rect">
          <a:avLst/>
        </a:prstGeom>
      </xdr:spPr>
    </xdr:pic>
    <xdr:clientData/>
  </xdr:twoCellAnchor>
  <xdr:twoCellAnchor editAs="oneCell">
    <xdr:from>
      <xdr:col>9</xdr:col>
      <xdr:colOff>220980</xdr:colOff>
      <xdr:row>7</xdr:row>
      <xdr:rowOff>91440</xdr:rowOff>
    </xdr:from>
    <xdr:to>
      <xdr:col>9</xdr:col>
      <xdr:colOff>712422</xdr:colOff>
      <xdr:row>10</xdr:row>
      <xdr:rowOff>146306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BB1AA9D-EE23-4AE1-9B3C-3A0F35BB7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" y="1264920"/>
          <a:ext cx="491442" cy="5577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28575</xdr:rowOff>
    </xdr:from>
    <xdr:to>
      <xdr:col>1</xdr:col>
      <xdr:colOff>2124075</xdr:colOff>
      <xdr:row>6</xdr:row>
      <xdr:rowOff>90451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3DB91D-F96F-4E80-A78A-AD171087E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00025"/>
          <a:ext cx="2095500" cy="9191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28575</xdr:rowOff>
    </xdr:from>
    <xdr:to>
      <xdr:col>3</xdr:col>
      <xdr:colOff>247650</xdr:colOff>
      <xdr:row>6</xdr:row>
      <xdr:rowOff>90451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7395FD-B0D9-4749-9206-CE6384E43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00025"/>
          <a:ext cx="2095500" cy="9191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28575</xdr:rowOff>
    </xdr:from>
    <xdr:to>
      <xdr:col>3</xdr:col>
      <xdr:colOff>504825</xdr:colOff>
      <xdr:row>6</xdr:row>
      <xdr:rowOff>90451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3F7D29-F3A8-46E1-BFF5-ACBE76B6E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00025"/>
          <a:ext cx="2095500" cy="9191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10</xdr:col>
      <xdr:colOff>647700</xdr:colOff>
      <xdr:row>6</xdr:row>
      <xdr:rowOff>80926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F56658-0437-405A-80C1-9AB0B5D2B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190500"/>
          <a:ext cx="2095500" cy="9191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3</xdr:col>
      <xdr:colOff>9525</xdr:colOff>
      <xdr:row>6</xdr:row>
      <xdr:rowOff>80926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6285C3-5819-4D40-93DB-5CF34A760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190500"/>
          <a:ext cx="2095500" cy="9191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2</xdr:col>
      <xdr:colOff>1514475</xdr:colOff>
      <xdr:row>6</xdr:row>
      <xdr:rowOff>80926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044D19-FFE9-4068-B3C1-01D30CC59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190500"/>
          <a:ext cx="2095500" cy="9191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9254\OneDrive\Columbia%20MSRED\General\Practice%20Case%20Studies\Development\Astoria%20Ground-Up%20Rental%20-%202019-10-08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Inputs"/>
      <sheetName val="Pro Forma"/>
      <sheetName val="Waterfall"/>
      <sheetName val="Development Budget"/>
    </sheetNames>
    <sheetDataSet>
      <sheetData sheetId="0">
        <row r="6">
          <cell r="I6">
            <v>251.22542177956922</v>
          </cell>
          <cell r="J6">
            <v>177.95705303120181</v>
          </cell>
          <cell r="K6">
            <v>278.58602117253758</v>
          </cell>
        </row>
        <row r="13">
          <cell r="D13">
            <v>43100</v>
          </cell>
        </row>
        <row r="14">
          <cell r="M14" t="str">
            <v>Vacancy</v>
          </cell>
          <cell r="R14">
            <v>0.05</v>
          </cell>
        </row>
        <row r="22">
          <cell r="I22"/>
          <cell r="K22">
            <v>0.7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B2:XFD106"/>
  <sheetViews>
    <sheetView showGridLines="0" showWhiteSpace="0" view="pageBreakPreview" zoomScale="80" zoomScaleNormal="100" zoomScaleSheetLayoutView="80" workbookViewId="0">
      <pane xSplit="4" ySplit="16" topLeftCell="E17" activePane="bottomRight" state="frozen"/>
      <selection pane="topRight"/>
      <selection pane="bottomLeft"/>
      <selection pane="bottomRight" activeCell="E17" sqref="E17"/>
    </sheetView>
  </sheetViews>
  <sheetFormatPr defaultColWidth="9.21875" defaultRowHeight="14.1" customHeight="1"/>
  <cols>
    <col min="1" max="1" width="1.77734375" style="258" customWidth="1"/>
    <col min="2" max="2" width="10.21875" style="258" bestFit="1" customWidth="1"/>
    <col min="3" max="3" width="26" style="258" customWidth="1"/>
    <col min="4" max="4" width="4.6640625" style="258" bestFit="1" customWidth="1"/>
    <col min="5" max="5" width="15.109375" style="250" customWidth="1"/>
    <col min="6" max="7" width="15.109375" style="258" customWidth="1"/>
    <col min="8" max="8" width="15.6640625" style="258" bestFit="1" customWidth="1"/>
    <col min="9" max="16" width="15.109375" style="258" customWidth="1"/>
    <col min="17" max="17" width="9.21875" style="258"/>
    <col min="18" max="18" width="14.109375" style="258" bestFit="1" customWidth="1"/>
    <col min="19" max="16384" width="9.21875" style="258"/>
  </cols>
  <sheetData>
    <row r="2" spans="2:18 16384:16384" ht="14.1" customHeight="1">
      <c r="E2" s="496"/>
    </row>
    <row r="3" spans="2:18 16384:16384" ht="14.1" customHeight="1">
      <c r="E3" s="496"/>
    </row>
    <row r="4" spans="2:18 16384:16384" ht="14.1" customHeight="1">
      <c r="E4" s="496"/>
    </row>
    <row r="5" spans="2:18 16384:16384" ht="14.1" customHeight="1">
      <c r="E5" s="496"/>
    </row>
    <row r="6" spans="2:18 16384:16384" ht="14.1" customHeight="1">
      <c r="E6" s="496"/>
    </row>
    <row r="7" spans="2:18 16384:16384" ht="14.1" customHeight="1">
      <c r="E7" s="496"/>
    </row>
    <row r="8" spans="2:18 16384:16384" ht="14.1" customHeight="1">
      <c r="B8" s="410" t="s">
        <v>762</v>
      </c>
      <c r="E8" s="385"/>
    </row>
    <row r="9" spans="2:18 16384:16384" ht="14.1" customHeight="1">
      <c r="E9" s="385"/>
    </row>
    <row r="10" spans="2:18 16384:16384" s="257" customFormat="1" ht="13.2">
      <c r="B10" s="261" t="s">
        <v>22</v>
      </c>
      <c r="C10" s="261"/>
      <c r="D10" s="278"/>
      <c r="E10" s="262"/>
      <c r="F10" s="262"/>
      <c r="G10" s="262"/>
      <c r="H10" s="262"/>
      <c r="I10" s="262"/>
      <c r="J10" s="262"/>
      <c r="K10" s="262"/>
      <c r="L10" s="262"/>
      <c r="M10" s="262"/>
      <c r="N10" s="386"/>
      <c r="O10" s="263"/>
      <c r="P10" s="292"/>
      <c r="XFD10" s="292"/>
    </row>
    <row r="11" spans="2:18 16384:16384" s="287" customFormat="1" ht="13.8" thickBot="1">
      <c r="B11" s="283"/>
      <c r="C11" s="283"/>
      <c r="D11" s="283"/>
      <c r="E11" s="284"/>
      <c r="F11" s="284"/>
      <c r="G11" s="284"/>
      <c r="H11" s="284"/>
      <c r="I11" s="284"/>
      <c r="J11" s="284"/>
      <c r="K11" s="284"/>
      <c r="L11" s="284"/>
      <c r="M11" s="284"/>
      <c r="N11" s="285"/>
      <c r="O11" s="286"/>
    </row>
    <row r="12" spans="2:18 16384:16384" ht="13.8" thickBot="1">
      <c r="B12" s="288" t="s">
        <v>20</v>
      </c>
      <c r="E12" s="751" t="s">
        <v>682</v>
      </c>
      <c r="F12" s="751" t="s">
        <v>685</v>
      </c>
      <c r="G12" s="313" t="s">
        <v>591</v>
      </c>
      <c r="H12" s="314"/>
      <c r="I12" s="315"/>
      <c r="J12" s="294" t="s">
        <v>680</v>
      </c>
      <c r="K12" s="310" t="s">
        <v>681</v>
      </c>
      <c r="L12" s="311"/>
      <c r="M12" s="311"/>
      <c r="N12" s="311"/>
      <c r="O12" s="312"/>
      <c r="P12" s="751" t="s">
        <v>525</v>
      </c>
    </row>
    <row r="13" spans="2:18 16384:16384" ht="13.8" thickBot="1">
      <c r="B13" s="289" t="s">
        <v>445</v>
      </c>
      <c r="E13" s="752"/>
      <c r="F13" s="752"/>
      <c r="G13" s="282"/>
      <c r="H13" s="282"/>
      <c r="I13" s="282"/>
      <c r="J13" s="316" t="s">
        <v>591</v>
      </c>
      <c r="K13" s="317"/>
      <c r="L13" s="318"/>
      <c r="M13" s="293" t="s">
        <v>680</v>
      </c>
      <c r="N13" s="316" t="s">
        <v>681</v>
      </c>
      <c r="O13" s="318"/>
      <c r="P13" s="752"/>
    </row>
    <row r="14" spans="2:18 16384:16384" s="251" customFormat="1" ht="13.2">
      <c r="E14" s="271"/>
      <c r="G14" s="282"/>
      <c r="H14" s="282"/>
      <c r="I14" s="282"/>
      <c r="J14" s="281"/>
      <c r="K14" s="281"/>
      <c r="L14" s="281"/>
      <c r="M14" s="281"/>
      <c r="N14" s="281"/>
      <c r="O14" s="281"/>
      <c r="P14" s="290"/>
    </row>
    <row r="15" spans="2:18 16384:16384" ht="13.2">
      <c r="B15" s="250"/>
      <c r="C15" s="250"/>
      <c r="D15" s="277"/>
      <c r="E15" s="264">
        <v>2020</v>
      </c>
      <c r="F15" s="276">
        <f>E15+1</f>
        <v>2021</v>
      </c>
      <c r="G15" s="276">
        <f t="shared" ref="G15:P15" si="0">F15+1</f>
        <v>2022</v>
      </c>
      <c r="H15" s="276">
        <f t="shared" si="0"/>
        <v>2023</v>
      </c>
      <c r="I15" s="276">
        <f t="shared" si="0"/>
        <v>2024</v>
      </c>
      <c r="J15" s="276">
        <f t="shared" si="0"/>
        <v>2025</v>
      </c>
      <c r="K15" s="276">
        <f t="shared" si="0"/>
        <v>2026</v>
      </c>
      <c r="L15" s="276">
        <f t="shared" si="0"/>
        <v>2027</v>
      </c>
      <c r="M15" s="276">
        <f t="shared" si="0"/>
        <v>2028</v>
      </c>
      <c r="N15" s="276">
        <f t="shared" si="0"/>
        <v>2029</v>
      </c>
      <c r="O15" s="276">
        <f t="shared" si="0"/>
        <v>2030</v>
      </c>
      <c r="P15" s="276">
        <f t="shared" si="0"/>
        <v>2031</v>
      </c>
    </row>
    <row r="16" spans="2:18 16384:16384" ht="13.2">
      <c r="B16" s="259" t="s">
        <v>0</v>
      </c>
      <c r="C16" s="259"/>
      <c r="D16" s="259"/>
      <c r="E16" s="291">
        <v>0</v>
      </c>
      <c r="F16" s="291">
        <f>E16+1</f>
        <v>1</v>
      </c>
      <c r="G16" s="291">
        <f t="shared" ref="G16:P16" si="1">F16+1</f>
        <v>2</v>
      </c>
      <c r="H16" s="291">
        <f t="shared" si="1"/>
        <v>3</v>
      </c>
      <c r="I16" s="291">
        <f t="shared" si="1"/>
        <v>4</v>
      </c>
      <c r="J16" s="291">
        <f t="shared" si="1"/>
        <v>5</v>
      </c>
      <c r="K16" s="291">
        <f t="shared" si="1"/>
        <v>6</v>
      </c>
      <c r="L16" s="291">
        <f t="shared" si="1"/>
        <v>7</v>
      </c>
      <c r="M16" s="291">
        <f t="shared" si="1"/>
        <v>8</v>
      </c>
      <c r="N16" s="291">
        <f t="shared" si="1"/>
        <v>9</v>
      </c>
      <c r="O16" s="291">
        <f t="shared" si="1"/>
        <v>10</v>
      </c>
      <c r="P16" s="291">
        <f t="shared" si="1"/>
        <v>11</v>
      </c>
      <c r="R16" s="260"/>
    </row>
    <row r="17" spans="2:18" ht="13.2">
      <c r="B17" s="259"/>
      <c r="C17" s="259"/>
      <c r="D17" s="259"/>
      <c r="E17" s="264"/>
      <c r="O17" s="273"/>
      <c r="P17" s="273"/>
      <c r="R17" s="260"/>
    </row>
    <row r="18" spans="2:18" ht="15.6">
      <c r="B18" s="736" t="s">
        <v>755</v>
      </c>
      <c r="C18" s="736"/>
      <c r="D18" s="272"/>
      <c r="E18" s="297">
        <f>('Phase I - Pro Forma'!G25-'Phase I - Pro Forma'!G33)+('Phase II - Pro Forma'!G25-'Phase II - Pro Forma'!G33)</f>
        <v>0</v>
      </c>
      <c r="F18" s="297">
        <f>('Phase I - Pro Forma'!H25-'Phase I - Pro Forma'!H33)+('Phase II - Pro Forma'!H25-'Phase II - Pro Forma'!H33)</f>
        <v>0</v>
      </c>
      <c r="G18" s="297">
        <f>('Phase I - Pro Forma'!H25-'Phase I - Pro Forma'!H33)+('Phase II - Pro Forma'!H25-'Phase II - Pro Forma'!H33)</f>
        <v>0</v>
      </c>
      <c r="H18" s="297">
        <f>('Phase I - Pro Forma'!I25-'Phase I - Pro Forma'!I33)+('Phase II - Pro Forma'!I25-'Phase II - Pro Forma'!I33)</f>
        <v>0</v>
      </c>
      <c r="I18" s="297">
        <f>('Phase I - Pro Forma'!J25-'Phase I - Pro Forma'!J33)+('Phase II - Pro Forma'!J25-'Phase II - Pro Forma'!J33)</f>
        <v>0</v>
      </c>
      <c r="J18" s="297">
        <f>('Phase I - Pro Forma'!K25-'Phase I - Pro Forma'!K33)+('Phase II - Pro Forma'!K25-'Phase II - Pro Forma'!K33)</f>
        <v>1830184.92</v>
      </c>
      <c r="K18" s="297">
        <f>('Phase I - Pro Forma'!L25-'Phase I - Pro Forma'!L33)+('Phase II - Pro Forma'!L25-'Phase II - Pro Forma'!L33)</f>
        <v>4277457.0773999989</v>
      </c>
      <c r="L18" s="297">
        <f>('Phase I - Pro Forma'!M25-'Phase I - Pro Forma'!M33)+('Phase II - Pro Forma'!M25-'Phase II - Pro Forma'!M33)</f>
        <v>4335937.0314507</v>
      </c>
      <c r="M18" s="297">
        <f>('Phase I - Pro Forma'!N25-'Phase I - Pro Forma'!N33)+('Phase II - Pro Forma'!N25-'Phase II - Pro Forma'!N33)</f>
        <v>9044025.172629863</v>
      </c>
      <c r="N18" s="297">
        <f>('Phase I - Pro Forma'!O25-'Phase I - Pro Forma'!O33)+('Phase II - Pro Forma'!O25-'Phase II - Pro Forma'!O33)</f>
        <v>9178382.7865462992</v>
      </c>
      <c r="O18" s="297">
        <f>('Phase I - Pro Forma'!P25-'Phase I - Pro Forma'!P33)+('Phase II - Pro Forma'!P25-'Phase II - Pro Forma'!P33)</f>
        <v>9310938.1441540346</v>
      </c>
      <c r="P18" s="297">
        <f>('Phase I - Pro Forma'!Q25-'Phase I - Pro Forma'!Q33)+('Phase II - Pro Forma'!Q25-'Phase II - Pro Forma'!Q33)</f>
        <v>9441373.6494805142</v>
      </c>
      <c r="R18" s="260"/>
    </row>
    <row r="19" spans="2:18" ht="15.6">
      <c r="B19" s="736" t="s">
        <v>760</v>
      </c>
      <c r="C19" s="736"/>
      <c r="D19" s="272"/>
      <c r="E19" s="297">
        <f>('Phase I - Pro Forma'!G26-'Phase I - Pro Forma'!G34)+('Phase II - Pro Forma'!G26-'Phase II - Pro Forma'!G34)</f>
        <v>0</v>
      </c>
      <c r="F19" s="297">
        <f>('Phase I - Pro Forma'!H26-'Phase I - Pro Forma'!H34)+('Phase II - Pro Forma'!H26-'Phase II - Pro Forma'!H34)</f>
        <v>0</v>
      </c>
      <c r="G19" s="297">
        <f>('Phase I - Pro Forma'!H26-'Phase I - Pro Forma'!H34)+('Phase II - Pro Forma'!H26-'Phase II - Pro Forma'!H34)</f>
        <v>0</v>
      </c>
      <c r="H19" s="297">
        <f>('Phase I - Pro Forma'!I26-'Phase I - Pro Forma'!I34)+('Phase II - Pro Forma'!I26-'Phase II - Pro Forma'!I34)</f>
        <v>0</v>
      </c>
      <c r="I19" s="297">
        <f>('Phase I - Pro Forma'!J26-'Phase I - Pro Forma'!J34)+('Phase II - Pro Forma'!J26-'Phase II - Pro Forma'!J34)</f>
        <v>0</v>
      </c>
      <c r="J19" s="297">
        <f>('Phase I - Pro Forma'!K26-'Phase I - Pro Forma'!K34)+('Phase II - Pro Forma'!K26-'Phase II - Pro Forma'!K34)</f>
        <v>812133.41999999993</v>
      </c>
      <c r="K19" s="297">
        <f>('Phase I - Pro Forma'!L26-'Phase I - Pro Forma'!L34)+('Phase II - Pro Forma'!L26-'Phase II - Pro Forma'!L34)</f>
        <v>888858.73124999995</v>
      </c>
      <c r="L19" s="297">
        <f>('Phase I - Pro Forma'!M26-'Phase I - Pro Forma'!M34)+('Phase II - Pro Forma'!M26-'Phase II - Pro Forma'!M34)</f>
        <v>898466.84886328131</v>
      </c>
      <c r="M19" s="297">
        <f>('Phase I - Pro Forma'!N26-'Phase I - Pro Forma'!N34)+('Phase II - Pro Forma'!N26-'Phase II - Pro Forma'!N34)</f>
        <v>1849937.6585409348</v>
      </c>
      <c r="N19" s="297">
        <f>('Phase I - Pro Forma'!O26-'Phase I - Pro Forma'!O34)+('Phase II - Pro Forma'!O26-'Phase II - Pro Forma'!O34)</f>
        <v>1865271.161802642</v>
      </c>
      <c r="O19" s="297">
        <f>('Phase I - Pro Forma'!P26-'Phase I - Pro Forma'!P34)+('Phase II - Pro Forma'!P26-'Phase II - Pro Forma'!P34)</f>
        <v>1879754.1936224196</v>
      </c>
      <c r="P19" s="297">
        <f>('Phase I - Pro Forma'!Q26-'Phase I - Pro Forma'!Q34)+('Phase II - Pro Forma'!Q26-'Phase II - Pro Forma'!Q34)</f>
        <v>1893311.5896315321</v>
      </c>
    </row>
    <row r="20" spans="2:18" ht="13.2">
      <c r="B20" s="736" t="s">
        <v>24</v>
      </c>
      <c r="C20" s="736"/>
      <c r="D20" s="272"/>
      <c r="E20" s="297">
        <f>('Phase I - Pro Forma'!G27-'Phase I - Pro Forma'!G35)+('Phase II - Pro Forma'!G27-'Phase II - Pro Forma'!G35)</f>
        <v>0</v>
      </c>
      <c r="F20" s="297">
        <f>('Phase I - Pro Forma'!H27-'Phase I - Pro Forma'!H35)+('Phase II - Pro Forma'!H27-'Phase II - Pro Forma'!H35)</f>
        <v>0</v>
      </c>
      <c r="G20" s="297">
        <f>('Phase I - Pro Forma'!H27-'Phase I - Pro Forma'!H35)+('Phase II - Pro Forma'!H27-'Phase II - Pro Forma'!H35)</f>
        <v>0</v>
      </c>
      <c r="H20" s="297">
        <f>('Phase I - Pro Forma'!I27-'Phase I - Pro Forma'!I35)+('Phase II - Pro Forma'!I27-'Phase II - Pro Forma'!I35)</f>
        <v>0</v>
      </c>
      <c r="I20" s="297">
        <f>('Phase I - Pro Forma'!J27-'Phase I - Pro Forma'!J35)+('Phase II - Pro Forma'!J27-'Phase II - Pro Forma'!J35)</f>
        <v>0</v>
      </c>
      <c r="J20" s="297">
        <f>('Phase I - Pro Forma'!K27-'Phase I - Pro Forma'!K35)+('Phase II - Pro Forma'!K27-'Phase II - Pro Forma'!K35)</f>
        <v>-17475813.970647238</v>
      </c>
      <c r="K20" s="297">
        <f>('Phase I - Pro Forma'!L27-'Phase I - Pro Forma'!L35)+('Phase II - Pro Forma'!L27-'Phase II - Pro Forma'!L35)</f>
        <v>9869963.7304469999</v>
      </c>
      <c r="L20" s="297">
        <f>('Phase I - Pro Forma'!M27-'Phase I - Pro Forma'!M35)+('Phase II - Pro Forma'!M27-'Phase II - Pro Forma'!M35)</f>
        <v>10188557.214396331</v>
      </c>
      <c r="M20" s="297">
        <f>('Phase I - Pro Forma'!N27-'Phase I - Pro Forma'!N35)+('Phase II - Pro Forma'!N27-'Phase II - Pro Forma'!N35)</f>
        <v>31405669.249599658</v>
      </c>
      <c r="N20" s="297">
        <f>('Phase I - Pro Forma'!O27-'Phase I - Pro Forma'!O35)+('Phase II - Pro Forma'!O27-'Phase II - Pro Forma'!O35)</f>
        <v>32424890.339390028</v>
      </c>
      <c r="O20" s="297">
        <f>('Phase I - Pro Forma'!P27-'Phase I - Pro Forma'!P35)+('Phase II - Pro Forma'!P27-'Phase II - Pro Forma'!P35)</f>
        <v>33476229.082120169</v>
      </c>
      <c r="P20" s="297">
        <f>('Phase I - Pro Forma'!Q27-'Phase I - Pro Forma'!Q35)+('Phase II - Pro Forma'!Q27-'Phase II - Pro Forma'!Q35)</f>
        <v>34560679.827783182</v>
      </c>
    </row>
    <row r="21" spans="2:18" ht="13.2">
      <c r="B21" s="736" t="s">
        <v>26</v>
      </c>
      <c r="C21" s="736" t="s">
        <v>26</v>
      </c>
      <c r="D21" s="272"/>
      <c r="E21" s="297">
        <f>('Phase I - Pro Forma'!G28-'Phase I - Pro Forma'!G36)+('Phase II - Pro Forma'!G28-'Phase II - Pro Forma'!G36)</f>
        <v>0</v>
      </c>
      <c r="F21" s="297">
        <f>('Phase I - Pro Forma'!H28-'Phase I - Pro Forma'!H36)+('Phase II - Pro Forma'!H28-'Phase II - Pro Forma'!H36)</f>
        <v>0</v>
      </c>
      <c r="G21" s="297">
        <f>('Phase I - Pro Forma'!H28-'Phase I - Pro Forma'!H36)+('Phase II - Pro Forma'!H28-'Phase II - Pro Forma'!H36)</f>
        <v>0</v>
      </c>
      <c r="H21" s="297">
        <f>('Phase I - Pro Forma'!I28-'Phase I - Pro Forma'!I36)+('Phase II - Pro Forma'!I28-'Phase II - Pro Forma'!I36)</f>
        <v>0</v>
      </c>
      <c r="I21" s="297">
        <f>('Phase I - Pro Forma'!J28-'Phase I - Pro Forma'!J36)+('Phase II - Pro Forma'!J28-'Phase II - Pro Forma'!J36)</f>
        <v>0</v>
      </c>
      <c r="J21" s="297">
        <f>('Phase I - Pro Forma'!K28-'Phase I - Pro Forma'!K36)+('Phase II - Pro Forma'!K28-'Phase II - Pro Forma'!K36)</f>
        <v>0</v>
      </c>
      <c r="K21" s="297">
        <f>('Phase I - Pro Forma'!L28-'Phase I - Pro Forma'!L36)+('Phase II - Pro Forma'!L28-'Phase II - Pro Forma'!L36)</f>
        <v>0</v>
      </c>
      <c r="L21" s="297">
        <f>('Phase I - Pro Forma'!M28-'Phase I - Pro Forma'!M36)+('Phase II - Pro Forma'!M28-'Phase II - Pro Forma'!M36)</f>
        <v>0</v>
      </c>
      <c r="M21" s="297">
        <f>('Phase I - Pro Forma'!N28-'Phase I - Pro Forma'!N36)+('Phase II - Pro Forma'!N28-'Phase II - Pro Forma'!N36)</f>
        <v>4662825.8734013811</v>
      </c>
      <c r="N21" s="297">
        <f>('Phase I - Pro Forma'!O28-'Phase I - Pro Forma'!O36)+('Phase II - Pro Forma'!O28-'Phase II - Pro Forma'!O36)</f>
        <v>4962259.0236676298</v>
      </c>
      <c r="O21" s="297">
        <f>('Phase I - Pro Forma'!P28-'Phase I - Pro Forma'!P36)+('Phase II - Pro Forma'!P28-'Phase II - Pro Forma'!P36)</f>
        <v>5270675.1684418675</v>
      </c>
      <c r="P21" s="297">
        <f>('Phase I - Pro Forma'!Q28-'Phase I - Pro Forma'!Q36)+('Phase II - Pro Forma'!Q28-'Phase II - Pro Forma'!Q36)</f>
        <v>5588343.7975593321</v>
      </c>
    </row>
    <row r="22" spans="2:18" ht="13.2">
      <c r="B22" s="736" t="s">
        <v>45</v>
      </c>
      <c r="C22" s="736"/>
      <c r="D22" s="272"/>
      <c r="E22" s="297">
        <f>('Phase I - Pro Forma'!G29-'Phase I - Pro Forma'!G37)+('Phase II - Pro Forma'!G29-'Phase II - Pro Forma'!G37)</f>
        <v>0</v>
      </c>
      <c r="F22" s="297">
        <f>('Phase I - Pro Forma'!H29-'Phase I - Pro Forma'!H37)+('Phase II - Pro Forma'!H29-'Phase II - Pro Forma'!H37)</f>
        <v>0</v>
      </c>
      <c r="G22" s="297">
        <f>('Phase I - Pro Forma'!H29-'Phase I - Pro Forma'!H37)+('Phase II - Pro Forma'!H29-'Phase II - Pro Forma'!H37)</f>
        <v>0</v>
      </c>
      <c r="H22" s="297">
        <f>('Phase I - Pro Forma'!I29-'Phase I - Pro Forma'!I37)+('Phase II - Pro Forma'!I29-'Phase II - Pro Forma'!I37)</f>
        <v>0</v>
      </c>
      <c r="I22" s="297">
        <f>('Phase I - Pro Forma'!J29-'Phase I - Pro Forma'!J37)+('Phase II - Pro Forma'!J29-'Phase II - Pro Forma'!J37)</f>
        <v>0</v>
      </c>
      <c r="J22" s="297">
        <f>('Phase I - Pro Forma'!K29-'Phase I - Pro Forma'!K37)+('Phase II - Pro Forma'!K29-'Phase II - Pro Forma'!K37)</f>
        <v>-2870199.2725169919</v>
      </c>
      <c r="K22" s="297">
        <f>('Phase I - Pro Forma'!L29-'Phase I - Pro Forma'!L37)+('Phase II - Pro Forma'!L29-'Phase II - Pro Forma'!L37)</f>
        <v>3335418.4926360007</v>
      </c>
      <c r="L22" s="297">
        <f>('Phase I - Pro Forma'!M29-'Phase I - Pro Forma'!M37)+('Phase II - Pro Forma'!M29-'Phase II - Pro Forma'!M37)</f>
        <v>3445536.6358640399</v>
      </c>
      <c r="M22" s="297">
        <f>('Phase I - Pro Forma'!N29-'Phase I - Pro Forma'!N37)+('Phase II - Pro Forma'!N29-'Phase II - Pro Forma'!N37)</f>
        <v>8121325.6658397652</v>
      </c>
      <c r="N22" s="297">
        <f>('Phase I - Pro Forma'!O29-'Phase I - Pro Forma'!O37)+('Phase II - Pro Forma'!O29-'Phase II - Pro Forma'!O37)</f>
        <v>8390593.3774636164</v>
      </c>
      <c r="O22" s="297">
        <f>('Phase I - Pro Forma'!P29-'Phase I - Pro Forma'!P37)+('Phase II - Pro Forma'!P29-'Phase II - Pro Forma'!P37)</f>
        <v>8668451.6792691555</v>
      </c>
      <c r="P22" s="297">
        <f>('Phase I - Pro Forma'!Q29-'Phase I - Pro Forma'!Q37)+('Phase II - Pro Forma'!Q29-'Phase II - Pro Forma'!Q37)</f>
        <v>8955168.5401384979</v>
      </c>
    </row>
    <row r="23" spans="2:18" s="251" customFormat="1" ht="13.2">
      <c r="B23" s="322"/>
      <c r="C23" s="322" t="s">
        <v>50</v>
      </c>
      <c r="D23" s="322"/>
      <c r="E23" s="299">
        <v>0</v>
      </c>
      <c r="F23" s="299">
        <f>'Phase I - Summary'!$H$18/('Phase I - Summary'!$D$22+'Phase I - Summary'!$D$25)</f>
        <v>2281582.6927499999</v>
      </c>
      <c r="G23" s="299">
        <f>'Phase I - Summary'!$H$18/('Phase I - Summary'!$D$22+'Phase I - Summary'!$D$25)</f>
        <v>2281582.6927499999</v>
      </c>
      <c r="H23" s="299">
        <f>'Phase I - Summary'!$H$18/('Phase I - Summary'!$D$22+'Phase I - Summary'!$D$25)</f>
        <v>2281582.6927499999</v>
      </c>
      <c r="I23" s="299">
        <f>'Phase I - Summary'!$H$18/('Phase I - Summary'!$D$22+'Phase I - Summary'!$D$25)</f>
        <v>2281582.6927499999</v>
      </c>
      <c r="J23" s="299">
        <f>'Phase II - Summary'!$H$18/('Phase II - Summary'!$D$22+'Phase II - Summary'!$D$24)</f>
        <v>3723123.5787051772</v>
      </c>
      <c r="K23" s="299">
        <f>'Phase II - Summary'!$H$18/('Phase II - Summary'!$D$22+'Phase II - Summary'!$D$24)</f>
        <v>3723123.5787051772</v>
      </c>
      <c r="L23" s="299">
        <f>'Phase II - Summary'!$H$18/('Phase II - Summary'!$D$22+'Phase II - Summary'!$D$24)</f>
        <v>3723123.5787051772</v>
      </c>
      <c r="M23" s="299">
        <f>'Phase II - Summary'!$H$18/('Phase II - Summary'!$D$22+'Phase II - Summary'!$D$24)</f>
        <v>3723123.5787051772</v>
      </c>
      <c r="N23" s="299">
        <v>0</v>
      </c>
      <c r="O23" s="299">
        <v>0</v>
      </c>
      <c r="P23" s="299">
        <v>0</v>
      </c>
    </row>
    <row r="24" spans="2:18" ht="13.2">
      <c r="B24" s="265"/>
      <c r="C24" s="265"/>
      <c r="D24" s="272"/>
      <c r="E24" s="298"/>
      <c r="G24" s="299"/>
      <c r="H24" s="299"/>
      <c r="I24" s="299"/>
      <c r="J24" s="299"/>
      <c r="K24" s="299"/>
      <c r="L24" s="299"/>
      <c r="M24" s="299"/>
      <c r="N24" s="299"/>
      <c r="O24" s="300"/>
      <c r="P24" s="300"/>
    </row>
    <row r="25" spans="2:18" ht="13.2">
      <c r="B25" s="756" t="s">
        <v>1</v>
      </c>
      <c r="C25" s="756"/>
      <c r="D25" s="275"/>
      <c r="E25" s="301">
        <f t="shared" ref="E25:P25" si="2">SUM(E18:E23)</f>
        <v>0</v>
      </c>
      <c r="F25" s="301">
        <f t="shared" si="2"/>
        <v>2281582.6927499999</v>
      </c>
      <c r="G25" s="301">
        <f t="shared" si="2"/>
        <v>2281582.6927499999</v>
      </c>
      <c r="H25" s="301">
        <f t="shared" si="2"/>
        <v>2281582.6927499999</v>
      </c>
      <c r="I25" s="301">
        <f t="shared" si="2"/>
        <v>2281582.6927499999</v>
      </c>
      <c r="J25" s="301">
        <f t="shared" si="2"/>
        <v>-13980571.324459054</v>
      </c>
      <c r="K25" s="301">
        <f t="shared" si="2"/>
        <v>22094821.610438175</v>
      </c>
      <c r="L25" s="301">
        <f t="shared" si="2"/>
        <v>22591621.309279531</v>
      </c>
      <c r="M25" s="301">
        <f t="shared" si="2"/>
        <v>58806907.198716775</v>
      </c>
      <c r="N25" s="301">
        <f t="shared" si="2"/>
        <v>56821396.688870214</v>
      </c>
      <c r="O25" s="301">
        <f t="shared" si="2"/>
        <v>58606048.267607652</v>
      </c>
      <c r="P25" s="301">
        <f t="shared" si="2"/>
        <v>60438877.404593065</v>
      </c>
    </row>
    <row r="26" spans="2:18" ht="13.2">
      <c r="B26" s="755" t="s">
        <v>47</v>
      </c>
      <c r="C26" s="755"/>
      <c r="D26" s="274"/>
      <c r="E26" s="299">
        <f>'Phase I - Pro Forma'!G44+'Phase II - Pro Forma'!G44</f>
        <v>0</v>
      </c>
      <c r="F26" s="299">
        <f>'Phase I - Pro Forma'!H44+'Phase II - Pro Forma'!H44</f>
        <v>0</v>
      </c>
      <c r="G26" s="299">
        <f>'Phase I - Pro Forma'!H44+'Phase II - Pro Forma'!H44</f>
        <v>0</v>
      </c>
      <c r="H26" s="299">
        <f>'Phase I - Pro Forma'!I44+'Phase II - Pro Forma'!I44</f>
        <v>0</v>
      </c>
      <c r="I26" s="299">
        <f>'Phase I - Pro Forma'!J44+'Phase II - Pro Forma'!J44</f>
        <v>0</v>
      </c>
      <c r="J26" s="299">
        <f>'Phase I - Pro Forma'!K44+'Phase II - Pro Forma'!K44</f>
        <v>0</v>
      </c>
      <c r="K26" s="299">
        <f>'Phase I - Pro Forma'!L44+'Phase II - Pro Forma'!L44</f>
        <v>0</v>
      </c>
      <c r="L26" s="299">
        <f>'Phase I - Pro Forma'!M44+'Phase II - Pro Forma'!M44</f>
        <v>0</v>
      </c>
      <c r="M26" s="299">
        <f>'Phase I - Pro Forma'!N44+'Phase II - Pro Forma'!N44</f>
        <v>0</v>
      </c>
      <c r="N26" s="299">
        <f>'Phase I - Pro Forma'!O44+'Phase II - Pro Forma'!O44</f>
        <v>0</v>
      </c>
      <c r="O26" s="299">
        <f>'Phase I - Pro Forma'!P44+'Phase II - Pro Forma'!P44</f>
        <v>0</v>
      </c>
      <c r="P26" s="299">
        <f>'Phase I - Pro Forma'!Q44+'Phase II - Pro Forma'!Q44</f>
        <v>1114854171.2417934</v>
      </c>
      <c r="Q26" s="266"/>
    </row>
    <row r="27" spans="2:18" ht="13.2">
      <c r="B27" s="249"/>
      <c r="C27" s="249" t="s">
        <v>48</v>
      </c>
      <c r="D27" s="274"/>
      <c r="E27" s="299">
        <f>SUM(E25:E26)</f>
        <v>0</v>
      </c>
      <c r="F27" s="299">
        <f>SUM(F25:F26)</f>
        <v>2281582.6927499999</v>
      </c>
      <c r="G27" s="299">
        <f>SUM(G25:G26)</f>
        <v>2281582.6927499999</v>
      </c>
      <c r="H27" s="299">
        <f t="shared" ref="H27:P27" si="3">SUM(H25:H26)</f>
        <v>2281582.6927499999</v>
      </c>
      <c r="I27" s="299">
        <f t="shared" si="3"/>
        <v>2281582.6927499999</v>
      </c>
      <c r="J27" s="299">
        <f t="shared" si="3"/>
        <v>-13980571.324459054</v>
      </c>
      <c r="K27" s="299">
        <f t="shared" si="3"/>
        <v>22094821.610438175</v>
      </c>
      <c r="L27" s="299">
        <f t="shared" si="3"/>
        <v>22591621.309279531</v>
      </c>
      <c r="M27" s="299">
        <f t="shared" si="3"/>
        <v>58806907.198716775</v>
      </c>
      <c r="N27" s="299">
        <f t="shared" si="3"/>
        <v>56821396.688870214</v>
      </c>
      <c r="O27" s="299">
        <f t="shared" si="3"/>
        <v>58606048.267607652</v>
      </c>
      <c r="P27" s="299">
        <f t="shared" si="3"/>
        <v>1175293048.6463864</v>
      </c>
    </row>
    <row r="28" spans="2:18" ht="13.2">
      <c r="B28" s="373"/>
      <c r="C28" s="373"/>
      <c r="D28" s="373"/>
      <c r="E28" s="299"/>
      <c r="F28" s="299"/>
      <c r="G28" s="299"/>
      <c r="H28" s="299"/>
      <c r="I28" s="299"/>
      <c r="J28" s="299"/>
      <c r="K28" s="299"/>
      <c r="L28" s="299"/>
      <c r="M28" s="299"/>
      <c r="N28" s="299"/>
      <c r="O28" s="299"/>
      <c r="P28" s="299"/>
    </row>
    <row r="29" spans="2:18" ht="13.2">
      <c r="B29" s="374" t="s">
        <v>756</v>
      </c>
      <c r="C29" s="373"/>
      <c r="D29" s="373"/>
      <c r="E29" s="299"/>
      <c r="F29" s="299"/>
      <c r="G29" s="299"/>
      <c r="H29" s="299"/>
      <c r="I29" s="299"/>
      <c r="J29" s="299"/>
      <c r="K29" s="299"/>
      <c r="L29" s="299"/>
      <c r="M29" s="299"/>
      <c r="N29" s="299"/>
      <c r="O29" s="299"/>
      <c r="P29" s="299"/>
    </row>
    <row r="30" spans="2:18" s="254" customFormat="1" ht="11.25" customHeight="1">
      <c r="B30" s="253"/>
      <c r="C30" s="253"/>
      <c r="D30" s="253"/>
      <c r="E30" s="302"/>
      <c r="G30" s="303"/>
      <c r="H30" s="303"/>
      <c r="I30" s="303"/>
      <c r="J30" s="303"/>
      <c r="K30" s="303"/>
      <c r="L30" s="303"/>
      <c r="M30" s="303"/>
      <c r="N30" s="303"/>
      <c r="O30" s="304"/>
      <c r="P30" s="304"/>
    </row>
    <row r="31" spans="2:18" ht="13.2">
      <c r="B31" s="259" t="s">
        <v>2</v>
      </c>
      <c r="C31" s="259"/>
      <c r="D31" s="259"/>
      <c r="E31" s="305"/>
      <c r="G31" s="299"/>
      <c r="H31" s="299"/>
      <c r="I31" s="299"/>
      <c r="J31" s="299"/>
      <c r="K31" s="299"/>
      <c r="L31" s="299"/>
      <c r="M31" s="299"/>
      <c r="N31" s="299"/>
      <c r="O31" s="306"/>
      <c r="P31" s="306"/>
    </row>
    <row r="32" spans="2:18" ht="13.2">
      <c r="B32" s="257"/>
      <c r="C32" s="265" t="s">
        <v>683</v>
      </c>
      <c r="D32" s="272"/>
      <c r="E32" s="299">
        <v>0</v>
      </c>
      <c r="F32" s="299">
        <v>0</v>
      </c>
      <c r="G32" s="299">
        <f ca="1">IF(G$15&lt;'Phase I - Summary'!$D$23,SUM('Area Matrix'!$D34,'Area Matrix'!$H34,'Area Matrix'!$P34,'Area Matrix'!$T34)/'Phase I - Summary'!$D$22,0)</f>
        <v>36420718.977494657</v>
      </c>
      <c r="H32" s="299">
        <f ca="1">IF(H$15&lt;'Phase I - Summary'!$D$23,SUM('Area Matrix'!$D34,'Area Matrix'!$H34,'Area Matrix'!$P34,'Area Matrix'!$T34)/'Phase I - Summary'!$D$22,0)</f>
        <v>36420718.977494657</v>
      </c>
      <c r="I32" s="299">
        <f ca="1">IF(I$15&lt;'Phase I - Summary'!$D$23,SUM('Area Matrix'!$D34,'Area Matrix'!$H34,'Area Matrix'!$P34,'Area Matrix'!$T34)/'Phase I - Summary'!$D$22,0)</f>
        <v>36420718.977494657</v>
      </c>
      <c r="J32" s="299">
        <f ca="1">IF(J$15&lt;'Phase II - Summary'!$D$23,SUM('Area Matrix'!$D57,'Area Matrix'!$H57,'Area Matrix'!$P57,'Area Matrix'!$T57)/'Phase II - Summary'!$D$22,0)</f>
        <v>45545449.746704288</v>
      </c>
      <c r="K32" s="299">
        <f ca="1">IF(K$15&lt;'Phase II - Summary'!$D$23,SUM('Area Matrix'!$D57,'Area Matrix'!$H57,'Area Matrix'!$P57,'Area Matrix'!$T57)/'Phase II - Summary'!$D$22,0)</f>
        <v>45545449.746704288</v>
      </c>
      <c r="L32" s="299">
        <f ca="1">IF(L$15&lt;'Phase II - Summary'!$D$23,SUM('Area Matrix'!$D57,'Area Matrix'!$H57,'Area Matrix'!$P57,'Area Matrix'!$T57)/'Phase II - Summary'!$D$22,0)</f>
        <v>45545449.746704288</v>
      </c>
      <c r="M32" s="299">
        <f>IF(M$15&lt;'Phase II - Summary'!$D$23,SUM('Area Matrix'!$D57,'Area Matrix'!$H57,'Area Matrix'!$P57,'Area Matrix'!$T57)/'Phase II - Summary'!$D$22,0)</f>
        <v>0</v>
      </c>
      <c r="N32" s="299">
        <f>IF(N$15&lt;'Phase II - Summary'!$D$23,SUM('Area Matrix'!$D57,'Area Matrix'!$H57,'Area Matrix'!$P57,'Area Matrix'!$T57)/'Phase II - Summary'!$D$22,0)</f>
        <v>0</v>
      </c>
      <c r="O32" s="299">
        <f>IF(O$15&lt;'Phase II - Summary'!$D$23,SUM('Area Matrix'!$D57,'Area Matrix'!$H57,'Area Matrix'!$P57,'Area Matrix'!$T57)/'Phase II - Summary'!$D$22,0)</f>
        <v>0</v>
      </c>
      <c r="P32" s="299">
        <f>IF(P$15&lt;'Phase II - Summary'!$D$23,SUM('Area Matrix'!$D57,'Area Matrix'!$H57,'Area Matrix'!$P57,'Area Matrix'!$T57)/'Phase II - Summary'!$D$22,0)</f>
        <v>0</v>
      </c>
    </row>
    <row r="33" spans="2:16" ht="13.2">
      <c r="B33" s="257"/>
      <c r="C33" s="265" t="s">
        <v>674</v>
      </c>
      <c r="D33" s="272"/>
      <c r="E33" s="299">
        <v>0</v>
      </c>
      <c r="F33" s="299">
        <v>0</v>
      </c>
      <c r="G33" s="299">
        <f ca="1">IF(G$15&lt;'Phase I - Summary'!$D$23,SUM('Area Matrix'!$D35,'Area Matrix'!$H35,'Area Matrix'!$P35,'Area Matrix'!$T35)/'Phase I - Summary'!$D$22,0)</f>
        <v>15608879.561783424</v>
      </c>
      <c r="H33" s="299">
        <f ca="1">IF(H$15&lt;'Phase I - Summary'!$D$23,SUM('Area Matrix'!$D35,'Area Matrix'!$H35,'Area Matrix'!$P35,'Area Matrix'!$T35)/'Phase I - Summary'!$D$22,0)</f>
        <v>15608879.561783424</v>
      </c>
      <c r="I33" s="299">
        <f ca="1">IF(I$15&lt;'Phase I - Summary'!$D$23,SUM('Area Matrix'!$D35,'Area Matrix'!$H35,'Area Matrix'!$P35,'Area Matrix'!$T35)/'Phase I - Summary'!$D$22,0)</f>
        <v>15608879.561783424</v>
      </c>
      <c r="J33" s="299">
        <f ca="1">IF(J$15&lt;'Phase II - Summary'!$D$23,SUM('Area Matrix'!$D58,'Area Matrix'!$H58,'Area Matrix'!$P58,'Area Matrix'!$T58)/'Phase II - Summary'!$D$22,0)</f>
        <v>19519478.462873269</v>
      </c>
      <c r="K33" s="299">
        <f ca="1">IF(K$15&lt;'Phase II - Summary'!$D$23,SUM('Area Matrix'!$D58,'Area Matrix'!$H58,'Area Matrix'!$P58,'Area Matrix'!$T58)/'Phase II - Summary'!$D$22,0)</f>
        <v>19519478.462873269</v>
      </c>
      <c r="L33" s="299">
        <f ca="1">IF(L$15&lt;'Phase II - Summary'!$D$23,SUM('Area Matrix'!$D58,'Area Matrix'!$H58,'Area Matrix'!$P58,'Area Matrix'!$T58)/'Phase II - Summary'!$D$22,0)</f>
        <v>19519478.462873269</v>
      </c>
      <c r="M33" s="299">
        <f>IF(M$15&lt;'Phase II - Summary'!$D$23,SUM('Area Matrix'!$D58,'Area Matrix'!$H58,'Area Matrix'!$P58,'Area Matrix'!$T58)/'Phase II - Summary'!$D$22,0)</f>
        <v>0</v>
      </c>
      <c r="N33" s="299">
        <f>IF(N$15&lt;'Phase II - Summary'!$D$23,SUM('Area Matrix'!$D58,'Area Matrix'!$H58,'Area Matrix'!$P58,'Area Matrix'!$T58)/'Phase II - Summary'!$D$22,0)</f>
        <v>0</v>
      </c>
      <c r="O33" s="299">
        <f>IF(O$15&lt;'Phase II - Summary'!$D$23,SUM('Area Matrix'!$D58,'Area Matrix'!$H58,'Area Matrix'!$P58,'Area Matrix'!$T58)/'Phase II - Summary'!$D$22,0)</f>
        <v>0</v>
      </c>
      <c r="P33" s="299">
        <f>IF(P$15&lt;'Phase II - Summary'!$D$23,SUM('Area Matrix'!$D58,'Area Matrix'!$H58,'Area Matrix'!$P58,'Area Matrix'!$T58)/'Phase II - Summary'!$D$22,0)</f>
        <v>0</v>
      </c>
    </row>
    <row r="34" spans="2:16" ht="13.2">
      <c r="B34" s="736" t="s">
        <v>24</v>
      </c>
      <c r="C34" s="736"/>
      <c r="D34" s="272"/>
      <c r="E34" s="299">
        <v>0</v>
      </c>
      <c r="F34" s="299">
        <v>0</v>
      </c>
      <c r="G34" s="299">
        <f ca="1">IF(G$15&lt;'Phase I - Summary'!$D$23,SUM('Area Matrix'!$D36,'Area Matrix'!$H36,'Area Matrix'!$P36,'Area Matrix'!$T36)/'Phase I - Summary'!$D$22,0)</f>
        <v>30718412.818347082</v>
      </c>
      <c r="H34" s="299">
        <f ca="1">IF(H$15&lt;'Phase I - Summary'!$D$23,SUM('Area Matrix'!$D36,'Area Matrix'!$H36,'Area Matrix'!$P36,'Area Matrix'!$T36)/'Phase I - Summary'!$D$22,0)</f>
        <v>30718412.818347082</v>
      </c>
      <c r="I34" s="299">
        <f ca="1">IF(I$15&lt;'Phase I - Summary'!$D$23,SUM('Area Matrix'!$D36,'Area Matrix'!$H36,'Area Matrix'!$P36,'Area Matrix'!$T36)/'Phase I - Summary'!$D$22,0)</f>
        <v>30718412.818347082</v>
      </c>
      <c r="J34" s="299">
        <f ca="1">IF(J$15&lt;'Phase II - Summary'!$D$23,SUM('Area Matrix'!$D59,'Area Matrix'!$H59,'Area Matrix'!$P59,'Area Matrix'!$T59)/'Phase II - Summary'!$D$22,0)</f>
        <v>72165110.030200899</v>
      </c>
      <c r="K34" s="299">
        <f ca="1">IF(K$15&lt;'Phase II - Summary'!$D$23,SUM('Area Matrix'!$D59,'Area Matrix'!$H59,'Area Matrix'!$P59,'Area Matrix'!$T59)/'Phase II - Summary'!$D$22,0)</f>
        <v>72165110.030200899</v>
      </c>
      <c r="L34" s="299">
        <f ca="1">IF(L$15&lt;'Phase II - Summary'!$D$23,SUM('Area Matrix'!$D59,'Area Matrix'!$H59,'Area Matrix'!$P59,'Area Matrix'!$T59)/'Phase II - Summary'!$D$22,0)</f>
        <v>72165110.030200899</v>
      </c>
      <c r="M34" s="299">
        <f>IF(M$15&lt;'Phase II - Summary'!$D$23,SUM('Area Matrix'!$D59,'Area Matrix'!$H59,'Area Matrix'!$P59,'Area Matrix'!$T59)/'Phase II - Summary'!$D$22,0)</f>
        <v>0</v>
      </c>
      <c r="N34" s="299">
        <f>IF(N$15&lt;'Phase II - Summary'!$D$23,SUM('Area Matrix'!$D59,'Area Matrix'!$H59,'Area Matrix'!$P59,'Area Matrix'!$T59)/'Phase II - Summary'!$D$22,0)</f>
        <v>0</v>
      </c>
      <c r="O34" s="299">
        <f>IF(O$15&lt;'Phase II - Summary'!$D$23,SUM('Area Matrix'!$D59,'Area Matrix'!$H59,'Area Matrix'!$P59,'Area Matrix'!$T59)/'Phase II - Summary'!$D$22,0)</f>
        <v>0</v>
      </c>
      <c r="P34" s="299">
        <f>IF(P$15&lt;'Phase II - Summary'!$D$23,SUM('Area Matrix'!$D59,'Area Matrix'!$H59,'Area Matrix'!$P59,'Area Matrix'!$T59)/'Phase II - Summary'!$D$22,0)</f>
        <v>0</v>
      </c>
    </row>
    <row r="35" spans="2:16" ht="13.2">
      <c r="B35" s="736" t="s">
        <v>26</v>
      </c>
      <c r="C35" s="736"/>
      <c r="D35" s="272"/>
      <c r="E35" s="299">
        <v>0</v>
      </c>
      <c r="F35" s="299">
        <v>0</v>
      </c>
      <c r="G35" s="299">
        <f ca="1">IF(G$15&lt;'Phase I - Summary'!$D$23,SUM('Area Matrix'!$D38,'Area Matrix'!$H38,'Area Matrix'!$P38,'Area Matrix'!$T38)/'Phase I - Summary'!$D$22,0)</f>
        <v>0</v>
      </c>
      <c r="H35" s="299">
        <f ca="1">IF(H$15&lt;'Phase I - Summary'!$D$23,SUM('Area Matrix'!$D38,'Area Matrix'!$H38,'Area Matrix'!$P38,'Area Matrix'!$T38)/'Phase I - Summary'!$D$22,0)</f>
        <v>0</v>
      </c>
      <c r="I35" s="299">
        <f ca="1">IF(I$15&lt;'Phase I - Summary'!$D$23,SUM('Area Matrix'!$D38,'Area Matrix'!$H38,'Area Matrix'!$P38,'Area Matrix'!$T38)/'Phase I - Summary'!$D$22,0)</f>
        <v>0</v>
      </c>
      <c r="J35" s="299">
        <f ca="1">IF(J$15&lt;'Phase II - Summary'!$D$23,SUM('Area Matrix'!$D61,'Area Matrix'!$H61,'Area Matrix'!$P61,'Area Matrix'!$T61)/'Phase II - Summary'!$D$22,0)</f>
        <v>13452263.778626502</v>
      </c>
      <c r="K35" s="299">
        <f ca="1">IF(K$15&lt;'Phase II - Summary'!$D$23,SUM('Area Matrix'!$D61,'Area Matrix'!$H61,'Area Matrix'!$P61,'Area Matrix'!$T61)/'Phase II - Summary'!$D$22,0)</f>
        <v>13452263.778626502</v>
      </c>
      <c r="L35" s="299">
        <f ca="1">IF(L$15&lt;'Phase II - Summary'!$D$23,SUM('Area Matrix'!$D61,'Area Matrix'!$H61,'Area Matrix'!$P61,'Area Matrix'!$T61)/'Phase II - Summary'!$D$22,0)</f>
        <v>13452263.778626502</v>
      </c>
      <c r="M35" s="299">
        <f>IF(M$15&lt;'Phase II - Summary'!$D$23,SUM('Area Matrix'!$D61,'Area Matrix'!$H61,'Area Matrix'!$P61,'Area Matrix'!$T61)/'Phase II - Summary'!$D$22,0)</f>
        <v>0</v>
      </c>
      <c r="N35" s="299">
        <f>IF(N$15&lt;'Phase II - Summary'!$D$23,SUM('Area Matrix'!$D61,'Area Matrix'!$H61,'Area Matrix'!$P61,'Area Matrix'!$T61)/'Phase II - Summary'!$D$22,0)</f>
        <v>0</v>
      </c>
      <c r="O35" s="299">
        <f>IF(O$15&lt;'Phase II - Summary'!$D$23,SUM('Area Matrix'!$D61,'Area Matrix'!$H61,'Area Matrix'!$P61,'Area Matrix'!$T61)/'Phase II - Summary'!$D$22,0)</f>
        <v>0</v>
      </c>
      <c r="P35" s="299">
        <f>IF(P$15&lt;'Phase II - Summary'!$D$23,SUM('Area Matrix'!$D61,'Area Matrix'!$H61,'Area Matrix'!$P61,'Area Matrix'!$T61)/'Phase II - Summary'!$D$22,0)</f>
        <v>0</v>
      </c>
    </row>
    <row r="36" spans="2:16" ht="13.2">
      <c r="B36" s="736" t="s">
        <v>44</v>
      </c>
      <c r="C36" s="736"/>
      <c r="D36" s="272"/>
      <c r="E36" s="299">
        <v>0</v>
      </c>
      <c r="F36" s="299">
        <v>0</v>
      </c>
      <c r="G36" s="299">
        <f ca="1">IF(G$15&lt;'Phase I - Summary'!$D$23,SUM('Area Matrix'!$D37,'Area Matrix'!$H37,'Area Matrix'!$P37,'Area Matrix'!$T37)/'Phase I - Summary'!$D$22,0)</f>
        <v>13298751.935489817</v>
      </c>
      <c r="H36" s="299">
        <f ca="1">IF(H$15&lt;'Phase I - Summary'!$D$23,SUM('Area Matrix'!$D37,'Area Matrix'!$H37,'Area Matrix'!$P37,'Area Matrix'!$T37)/'Phase I - Summary'!$D$22,0)</f>
        <v>13298751.935489817</v>
      </c>
      <c r="I36" s="299">
        <f ca="1">IF(I$15&lt;'Phase I - Summary'!$D$23,SUM('Area Matrix'!$D37,'Area Matrix'!$H37,'Area Matrix'!$P37,'Area Matrix'!$T37)/'Phase I - Summary'!$D$22,0)</f>
        <v>13298751.935489817</v>
      </c>
      <c r="J36" s="299">
        <f ca="1">IF(J$15&lt;'Phase II - Summary'!$D$23,SUM('Area Matrix'!$D60,'Area Matrix'!$H60,'Area Matrix'!$P60,'Area Matrix'!$T60)/'Phase II - Summary'!$D$22,0)</f>
        <v>20423510.614045862</v>
      </c>
      <c r="K36" s="299">
        <f ca="1">IF(K$15&lt;'Phase II - Summary'!$D$23,SUM('Area Matrix'!$D60,'Area Matrix'!$H60,'Area Matrix'!$P60,'Area Matrix'!$T60)/'Phase II - Summary'!$D$22,0)</f>
        <v>20423510.614045862</v>
      </c>
      <c r="L36" s="299">
        <f ca="1">IF(L$15&lt;'Phase II - Summary'!$D$23,SUM('Area Matrix'!$D60,'Area Matrix'!$H60,'Area Matrix'!$P60,'Area Matrix'!$T60)/'Phase II - Summary'!$D$22,0)</f>
        <v>20423510.614045862</v>
      </c>
      <c r="M36" s="299">
        <f>IF(M$15&lt;'Phase II - Summary'!$D$23,SUM('Area Matrix'!$D60,'Area Matrix'!$H60,'Area Matrix'!$P60,'Area Matrix'!$T60)/'Phase II - Summary'!$D$22,0)</f>
        <v>0</v>
      </c>
      <c r="N36" s="299">
        <f>IF(N$15&lt;'Phase II - Summary'!$D$23,SUM('Area Matrix'!$D60,'Area Matrix'!$H60,'Area Matrix'!$P60,'Area Matrix'!$T60)/'Phase II - Summary'!$D$22,0)</f>
        <v>0</v>
      </c>
      <c r="O36" s="299">
        <f>IF(O$15&lt;'Phase II - Summary'!$D$23,SUM('Area Matrix'!$D60,'Area Matrix'!$H60,'Area Matrix'!$P60,'Area Matrix'!$T60)/'Phase II - Summary'!$D$22,0)</f>
        <v>0</v>
      </c>
      <c r="P36" s="299">
        <f>IF(P$15&lt;'Phase II - Summary'!$D$23,SUM('Area Matrix'!$D60,'Area Matrix'!$H60,'Area Matrix'!$P60,'Area Matrix'!$T60)/'Phase II - Summary'!$D$22,0)</f>
        <v>0</v>
      </c>
    </row>
    <row r="37" spans="2:16" ht="13.2">
      <c r="D37" s="272"/>
      <c r="E37" s="298"/>
      <c r="G37" s="297"/>
      <c r="H37" s="297"/>
      <c r="I37" s="297"/>
      <c r="J37" s="297"/>
      <c r="K37" s="297"/>
      <c r="L37" s="297"/>
      <c r="M37" s="297"/>
      <c r="N37" s="297"/>
      <c r="O37" s="297"/>
      <c r="P37" s="297"/>
    </row>
    <row r="38" spans="2:16" s="251" customFormat="1" ht="13.2">
      <c r="B38" s="393"/>
      <c r="C38" s="393" t="s">
        <v>758</v>
      </c>
      <c r="D38" s="393"/>
      <c r="E38" s="299">
        <v>0</v>
      </c>
      <c r="F38" s="299">
        <v>0</v>
      </c>
      <c r="G38" s="299">
        <f>'Infrastructure Budget'!$F$39/'Phase I - Summary'!$D$22</f>
        <v>2214770</v>
      </c>
      <c r="H38" s="299">
        <f>'Infrastructure Budget'!$F$39/'Phase I - Summary'!$D$22</f>
        <v>2214770</v>
      </c>
      <c r="I38" s="299">
        <f>'Infrastructure Budget'!$F$39/'Phase I - Summary'!$D$22</f>
        <v>2214770</v>
      </c>
      <c r="J38" s="299">
        <f>'Infrastructure Budget'!$G$39/'Phase II - Summary'!$D$22</f>
        <v>796350</v>
      </c>
      <c r="K38" s="299">
        <f>'Infrastructure Budget'!$G$39/'Phase II - Summary'!$D$22</f>
        <v>796350</v>
      </c>
      <c r="L38" s="299">
        <f>'Infrastructure Budget'!$G$39/'Phase II - Summary'!$D$22</f>
        <v>796350</v>
      </c>
      <c r="M38" s="299">
        <v>0</v>
      </c>
      <c r="N38" s="299">
        <v>0</v>
      </c>
      <c r="O38" s="299">
        <v>0</v>
      </c>
      <c r="P38" s="299">
        <v>0</v>
      </c>
    </row>
    <row r="39" spans="2:16" s="251" customFormat="1" ht="13.2">
      <c r="B39" s="740" t="s">
        <v>757</v>
      </c>
      <c r="C39" s="740"/>
      <c r="D39" s="322"/>
      <c r="E39" s="299">
        <v>0</v>
      </c>
      <c r="F39" s="299">
        <v>0</v>
      </c>
      <c r="G39" s="299">
        <f>'Infrastructure Budget'!$F$21/'Phase I - Summary'!$D$22</f>
        <v>89700</v>
      </c>
      <c r="H39" s="299">
        <f>'Infrastructure Budget'!$F$21/'Phase I - Summary'!$D$22</f>
        <v>89700</v>
      </c>
      <c r="I39" s="299">
        <f>'Infrastructure Budget'!$F$21/'Phase I - Summary'!$D$22</f>
        <v>89700</v>
      </c>
      <c r="J39" s="299">
        <f>'Infrastructure Budget'!$G$21/'Phase II - Summary'!$D$22</f>
        <v>102916.66666666667</v>
      </c>
      <c r="K39" s="299">
        <f>'Infrastructure Budget'!$G$21/'Phase II - Summary'!$D$22</f>
        <v>102916.66666666667</v>
      </c>
      <c r="L39" s="299">
        <f>'Infrastructure Budget'!$G$21/'Phase II - Summary'!$D$22</f>
        <v>102916.66666666667</v>
      </c>
      <c r="M39" s="299">
        <v>0</v>
      </c>
      <c r="N39" s="299">
        <v>0</v>
      </c>
      <c r="O39" s="299">
        <v>0</v>
      </c>
      <c r="P39" s="299">
        <v>0</v>
      </c>
    </row>
    <row r="40" spans="2:16" s="251" customFormat="1" ht="13.2">
      <c r="B40" s="740" t="s">
        <v>759</v>
      </c>
      <c r="C40" s="740" t="s">
        <v>759</v>
      </c>
      <c r="D40" s="393"/>
      <c r="E40" s="299">
        <v>0</v>
      </c>
      <c r="F40" s="299">
        <v>0</v>
      </c>
      <c r="G40" s="299">
        <f>'Infrastructure Budget'!$F$23/'Phase I - Summary'!$D$22</f>
        <v>466666.66666666669</v>
      </c>
      <c r="H40" s="299">
        <f>'Infrastructure Budget'!$F$23/'Phase I - Summary'!$D$22</f>
        <v>466666.66666666669</v>
      </c>
      <c r="I40" s="299">
        <f>'Infrastructure Budget'!$F$23/'Phase I - Summary'!$D$22</f>
        <v>466666.66666666669</v>
      </c>
      <c r="J40" s="299">
        <f>'Infrastructure Budget'!$G$23/'Phase II - Summary'!$D$22</f>
        <v>333333.33333333331</v>
      </c>
      <c r="K40" s="299">
        <f>'Infrastructure Budget'!$G$23/'Phase II - Summary'!$D$22</f>
        <v>333333.33333333331</v>
      </c>
      <c r="L40" s="299">
        <f>'Infrastructure Budget'!$G$23/'Phase II - Summary'!$D$22</f>
        <v>333333.33333333331</v>
      </c>
      <c r="M40" s="299"/>
      <c r="N40" s="299"/>
      <c r="O40" s="299"/>
      <c r="P40" s="299"/>
    </row>
    <row r="41" spans="2:16" s="251" customFormat="1" ht="13.2">
      <c r="B41" s="393"/>
      <c r="C41" s="393" t="s">
        <v>49</v>
      </c>
      <c r="D41" s="393"/>
      <c r="E41" s="299">
        <v>0</v>
      </c>
      <c r="F41" s="299">
        <v>0</v>
      </c>
      <c r="G41" s="299">
        <f>IF(G15='Phase I - Summary'!$D$21,'Infrastructure Budget'!$F$25,0)</f>
        <v>924664</v>
      </c>
      <c r="H41" s="299">
        <f>-IF(H15='Phase I - Summary'!$D$21,'Infrastructure Budget'!$F$25,0)</f>
        <v>0</v>
      </c>
      <c r="I41" s="299">
        <f>-IF(I15='Phase I - Summary'!$D$21,'Infrastructure Budget'!$F$25,0)</f>
        <v>0</v>
      </c>
      <c r="J41" s="299">
        <f>IF(J15='Phase II - Summary'!$D$21,'Infrastructure Budget'!$G$25,0)</f>
        <v>970890</v>
      </c>
      <c r="K41" s="299">
        <f>-IF(K15='Phase II - Summary'!$D$21,'Infrastructure Budget'!$G$25,0)</f>
        <v>0</v>
      </c>
      <c r="L41" s="299">
        <f>-IF(L15='Phase II - Summary'!$D$21,'Infrastructure Budget'!$G$25,0)</f>
        <v>0</v>
      </c>
      <c r="M41" s="299">
        <f>-IF(M15='Phase II - Summary'!$D$21,'Infrastructure Budget'!$G$25,0)</f>
        <v>0</v>
      </c>
      <c r="N41" s="299">
        <f>-IF(N15='Phase II - Summary'!$D$21,'Infrastructure Budget'!$G$25,0)</f>
        <v>0</v>
      </c>
      <c r="O41" s="299">
        <f>-IF(O15='Phase II - Summary'!$D$21,'Infrastructure Budget'!$G$25,0)</f>
        <v>0</v>
      </c>
      <c r="P41" s="299">
        <f>-IF(P15='Phase II - Summary'!$D$21,'Infrastructure Budget'!$G$25,0)</f>
        <v>0</v>
      </c>
    </row>
    <row r="42" spans="2:16" s="251" customFormat="1" ht="13.2">
      <c r="B42" s="393"/>
      <c r="C42" s="393" t="s">
        <v>752</v>
      </c>
      <c r="D42" s="393"/>
      <c r="E42" s="299">
        <v>0</v>
      </c>
      <c r="F42" s="299">
        <v>0</v>
      </c>
      <c r="G42" s="299">
        <f>'Infrastructure Budget'!$F$27/'Phase I - Summary'!$D$22</f>
        <v>207000</v>
      </c>
      <c r="H42" s="299">
        <f>'Infrastructure Budget'!$F$27/'Phase I - Summary'!$D$22</f>
        <v>207000</v>
      </c>
      <c r="I42" s="299">
        <f>'Infrastructure Budget'!$F$27/'Phase I - Summary'!$D$22</f>
        <v>207000</v>
      </c>
      <c r="J42" s="299">
        <f>'Infrastructure Budget'!$G$27/'Phase II - Summary'!$D$22</f>
        <v>237500</v>
      </c>
      <c r="K42" s="299">
        <f>'Infrastructure Budget'!$G$27/'Phase II - Summary'!$D$22</f>
        <v>237500</v>
      </c>
      <c r="L42" s="299">
        <f>'Infrastructure Budget'!$G$27/'Phase II - Summary'!$D$22</f>
        <v>237500</v>
      </c>
      <c r="M42" s="299">
        <f>-IF(M16='Phase II - Summary'!$D$21,'Infrastructure Budget'!$G$25,0)</f>
        <v>0</v>
      </c>
      <c r="N42" s="299">
        <f>-IF(N16='Phase II - Summary'!$D$21,'Infrastructure Budget'!$G$25,0)</f>
        <v>0</v>
      </c>
      <c r="O42" s="299">
        <f>-IF(O16='Phase II - Summary'!$D$21,'Infrastructure Budget'!$G$25,0)</f>
        <v>0</v>
      </c>
      <c r="P42" s="299">
        <f>-IF(P16='Phase II - Summary'!$D$21,'Infrastructure Budget'!$G$25,0)</f>
        <v>0</v>
      </c>
    </row>
    <row r="43" spans="2:16" s="251" customFormat="1" ht="13.2">
      <c r="B43" s="393"/>
      <c r="C43" s="393" t="s">
        <v>745</v>
      </c>
      <c r="D43" s="393"/>
      <c r="E43" s="299">
        <v>0</v>
      </c>
      <c r="F43" s="299">
        <v>0</v>
      </c>
      <c r="G43" s="299">
        <f>'Infrastructure Budget'!$F$30/'Phase I - Summary'!$D$22</f>
        <v>2226611</v>
      </c>
      <c r="H43" s="299">
        <f>'Infrastructure Budget'!$F$30/'Phase I - Summary'!$D$22</f>
        <v>2226611</v>
      </c>
      <c r="I43" s="299">
        <f>'Infrastructure Budget'!$F$30/'Phase I - Summary'!$D$22</f>
        <v>2226611</v>
      </c>
      <c r="J43" s="299">
        <f>'Infrastructure Budget'!$G$30/'Phase II - Summary'!$D$22</f>
        <v>2408052.6416233331</v>
      </c>
      <c r="K43" s="299">
        <f>'Infrastructure Budget'!$G$30/'Phase II - Summary'!$D$22</f>
        <v>2408052.6416233331</v>
      </c>
      <c r="L43" s="299">
        <f>'Infrastructure Budget'!$G$30/'Phase II - Summary'!$D$22</f>
        <v>2408052.6416233331</v>
      </c>
      <c r="M43" s="299">
        <f>-IF(M17='Phase II - Summary'!$D$21,'Infrastructure Budget'!$G$25,0)</f>
        <v>0</v>
      </c>
      <c r="N43" s="299">
        <f>-IF(N17='Phase II - Summary'!$D$21,'Infrastructure Budget'!$G$25,0)</f>
        <v>0</v>
      </c>
      <c r="O43" s="299">
        <f>-IF(O17='Phase II - Summary'!$D$21,'Infrastructure Budget'!$G$25,0)</f>
        <v>0</v>
      </c>
      <c r="P43" s="299">
        <f>-IF(P17='Phase II - Summary'!$D$21,'Infrastructure Budget'!$G$25,0)</f>
        <v>0</v>
      </c>
    </row>
    <row r="44" spans="2:16" s="251" customFormat="1" ht="13.2">
      <c r="B44" s="740" t="s">
        <v>27</v>
      </c>
      <c r="C44" s="740"/>
      <c r="D44" s="322"/>
      <c r="E44" s="299">
        <v>0</v>
      </c>
      <c r="F44" s="299">
        <v>0</v>
      </c>
      <c r="G44" s="299">
        <f>'Infrastructure Budget'!$F$33/'Phase I - Summary'!$D$22</f>
        <v>780000</v>
      </c>
      <c r="H44" s="299">
        <f>'Infrastructure Budget'!$F$33/'Phase I - Summary'!$D$22</f>
        <v>780000</v>
      </c>
      <c r="I44" s="299">
        <f>'Infrastructure Budget'!$F$33/'Phase I - Summary'!$D$22</f>
        <v>780000</v>
      </c>
      <c r="J44" s="299">
        <f>'Infrastructure Budget'!$G$33/'Phase II - Summary'!$D$22</f>
        <v>844056.4222222222</v>
      </c>
      <c r="K44" s="299">
        <f>'Infrastructure Budget'!$G$33/'Phase II - Summary'!$D$22</f>
        <v>844056.4222222222</v>
      </c>
      <c r="L44" s="299">
        <f>'Infrastructure Budget'!$G$33/'Phase II - Summary'!$D$22</f>
        <v>844056.4222222222</v>
      </c>
      <c r="M44" s="299">
        <f>IF(M$15&lt;'Phase II - Summary'!$D$23,SUM('Area Matrix'!$D62,'Area Matrix'!$H62,'Area Matrix'!$P62,'Area Matrix'!$T62)/'Phase II - Summary'!$D$22,0)</f>
        <v>0</v>
      </c>
      <c r="N44" s="299">
        <f>IF(N$15&lt;'Phase II - Summary'!$D$23,SUM('Area Matrix'!$D62,'Area Matrix'!$H62,'Area Matrix'!$P62,'Area Matrix'!$T62)/'Phase II - Summary'!$D$22,0)</f>
        <v>0</v>
      </c>
      <c r="O44" s="299">
        <f>IF(O$15&lt;'Phase II - Summary'!$D$23,SUM('Area Matrix'!$D62,'Area Matrix'!$H62,'Area Matrix'!$P62,'Area Matrix'!$T62)/'Phase II - Summary'!$D$22,0)</f>
        <v>0</v>
      </c>
      <c r="P44" s="299">
        <f>IF(P$15&lt;'Phase II - Summary'!$D$23,SUM('Area Matrix'!$D62,'Area Matrix'!$H62,'Area Matrix'!$P62,'Area Matrix'!$T62)/'Phase II - Summary'!$D$22,0)</f>
        <v>0</v>
      </c>
    </row>
    <row r="45" spans="2:16" ht="13.2">
      <c r="B45" s="265"/>
      <c r="C45" s="265" t="s">
        <v>46</v>
      </c>
      <c r="D45" s="272"/>
      <c r="E45" s="299">
        <f>'Phase I - Pro Forma'!F18+'Phase II - Pro Forma'!F18</f>
        <v>148677820</v>
      </c>
      <c r="F45" s="299">
        <f>'Phase I - Pro Forma'!G18+'Phase II - Pro Forma'!G18</f>
        <v>0</v>
      </c>
      <c r="G45" s="299">
        <f>'Phase I - Pro Forma'!G18+'Phase II - Pro Forma'!G18</f>
        <v>0</v>
      </c>
      <c r="H45" s="299">
        <f>'Phase I - Pro Forma'!H18+'Phase II - Pro Forma'!H18</f>
        <v>0</v>
      </c>
      <c r="I45" s="299">
        <f>'Phase I - Pro Forma'!I18+'Phase II - Pro Forma'!I18</f>
        <v>0</v>
      </c>
      <c r="J45" s="299">
        <f>'Phase I - Pro Forma'!J18+'Phase II - Pro Forma'!J18</f>
        <v>0</v>
      </c>
      <c r="K45" s="299">
        <f>'Phase I - Pro Forma'!K18+'Phase II - Pro Forma'!K18</f>
        <v>0</v>
      </c>
      <c r="L45" s="299">
        <f>'Phase I - Pro Forma'!L18+'Phase II - Pro Forma'!L18</f>
        <v>0</v>
      </c>
      <c r="M45" s="299">
        <f>'Phase I - Pro Forma'!M18+'Phase II - Pro Forma'!M18</f>
        <v>0</v>
      </c>
      <c r="N45" s="299">
        <f>'Phase I - Pro Forma'!N18+'Phase II - Pro Forma'!N18</f>
        <v>0</v>
      </c>
      <c r="O45" s="299">
        <f>'Phase I - Pro Forma'!O18+'Phase II - Pro Forma'!O18</f>
        <v>0</v>
      </c>
      <c r="P45" s="299">
        <f>'Phase I - Pro Forma'!P18+'Phase II - Pro Forma'!P18</f>
        <v>0</v>
      </c>
    </row>
    <row r="46" spans="2:16" ht="13.2">
      <c r="B46" s="753" t="s">
        <v>38</v>
      </c>
      <c r="C46" s="753"/>
      <c r="D46" s="402"/>
      <c r="E46" s="403">
        <f t="shared" ref="E46:P46" si="4">SUM(E38:E45)</f>
        <v>148677820</v>
      </c>
      <c r="F46" s="403">
        <f t="shared" si="4"/>
        <v>0</v>
      </c>
      <c r="G46" s="403">
        <f t="shared" si="4"/>
        <v>6909411.666666666</v>
      </c>
      <c r="H46" s="403">
        <f t="shared" si="4"/>
        <v>5984747.666666666</v>
      </c>
      <c r="I46" s="403">
        <f t="shared" si="4"/>
        <v>5984747.666666666</v>
      </c>
      <c r="J46" s="403">
        <f t="shared" si="4"/>
        <v>5693099.0638455553</v>
      </c>
      <c r="K46" s="403">
        <f t="shared" si="4"/>
        <v>4722209.0638455553</v>
      </c>
      <c r="L46" s="403">
        <f t="shared" si="4"/>
        <v>4722209.0638455553</v>
      </c>
      <c r="M46" s="403">
        <f t="shared" si="4"/>
        <v>0</v>
      </c>
      <c r="N46" s="403">
        <f t="shared" si="4"/>
        <v>0</v>
      </c>
      <c r="O46" s="403">
        <f t="shared" si="4"/>
        <v>0</v>
      </c>
      <c r="P46" s="403">
        <f t="shared" si="4"/>
        <v>0</v>
      </c>
    </row>
    <row r="47" spans="2:16" ht="13.2">
      <c r="B47" s="383"/>
      <c r="C47" s="383"/>
      <c r="D47" s="383"/>
      <c r="E47" s="298"/>
      <c r="F47" s="298"/>
      <c r="G47" s="298"/>
      <c r="H47" s="298"/>
      <c r="I47" s="298"/>
      <c r="J47" s="298"/>
      <c r="K47" s="298"/>
      <c r="L47" s="298"/>
      <c r="M47" s="298"/>
      <c r="N47" s="298"/>
      <c r="O47" s="298"/>
      <c r="P47" s="298"/>
    </row>
    <row r="48" spans="2:16" ht="13.2">
      <c r="B48" s="757" t="s">
        <v>3</v>
      </c>
      <c r="C48" s="757"/>
      <c r="D48" s="295"/>
      <c r="E48" s="307">
        <f>SUM(E32:E45)</f>
        <v>148677820</v>
      </c>
      <c r="F48" s="307">
        <f t="shared" ref="F48:P48" si="5">SUM(F32:F45)</f>
        <v>0</v>
      </c>
      <c r="G48" s="307">
        <f t="shared" ca="1" si="5"/>
        <v>102956174.95978165</v>
      </c>
      <c r="H48" s="307">
        <f t="shared" ca="1" si="5"/>
        <v>102031510.95978165</v>
      </c>
      <c r="I48" s="307">
        <f t="shared" ca="1" si="5"/>
        <v>102031510.95978165</v>
      </c>
      <c r="J48" s="307">
        <f t="shared" ca="1" si="5"/>
        <v>176798911.69629636</v>
      </c>
      <c r="K48" s="307">
        <f t="shared" ca="1" si="5"/>
        <v>175828021.69629636</v>
      </c>
      <c r="L48" s="307">
        <f t="shared" ca="1" si="5"/>
        <v>175828021.69629636</v>
      </c>
      <c r="M48" s="307">
        <f t="shared" si="5"/>
        <v>0</v>
      </c>
      <c r="N48" s="307">
        <f t="shared" si="5"/>
        <v>0</v>
      </c>
      <c r="O48" s="307">
        <f t="shared" si="5"/>
        <v>0</v>
      </c>
      <c r="P48" s="307">
        <f t="shared" si="5"/>
        <v>0</v>
      </c>
    </row>
    <row r="49" spans="2:16" s="254" customFormat="1" ht="13.2">
      <c r="B49" s="253"/>
      <c r="C49" s="253"/>
      <c r="D49" s="253"/>
      <c r="E49" s="302"/>
      <c r="G49" s="303"/>
      <c r="H49" s="303"/>
      <c r="I49" s="303"/>
      <c r="J49" s="303"/>
      <c r="K49" s="303"/>
      <c r="L49" s="303"/>
      <c r="M49" s="303"/>
      <c r="N49" s="303"/>
      <c r="O49" s="304"/>
      <c r="P49" s="304"/>
    </row>
    <row r="50" spans="2:16" ht="13.2">
      <c r="B50" s="259" t="s">
        <v>4</v>
      </c>
      <c r="C50" s="259"/>
      <c r="D50" s="259"/>
      <c r="E50" s="305"/>
      <c r="G50" s="299"/>
      <c r="H50" s="299"/>
      <c r="I50" s="299"/>
      <c r="J50" s="299"/>
      <c r="K50" s="299"/>
      <c r="L50" s="299"/>
      <c r="M50" s="299"/>
      <c r="N50" s="299"/>
      <c r="O50" s="306"/>
      <c r="P50" s="306"/>
    </row>
    <row r="51" spans="2:16" ht="13.2">
      <c r="B51" s="736" t="s">
        <v>5</v>
      </c>
      <c r="C51" s="736"/>
      <c r="D51" s="272"/>
      <c r="E51" s="299">
        <f t="shared" ref="E51:P51" si="6">E25</f>
        <v>0</v>
      </c>
      <c r="F51" s="299">
        <f t="shared" si="6"/>
        <v>2281582.6927499999</v>
      </c>
      <c r="G51" s="299">
        <f t="shared" si="6"/>
        <v>2281582.6927499999</v>
      </c>
      <c r="H51" s="299">
        <f t="shared" si="6"/>
        <v>2281582.6927499999</v>
      </c>
      <c r="I51" s="299">
        <f t="shared" si="6"/>
        <v>2281582.6927499999</v>
      </c>
      <c r="J51" s="299">
        <f t="shared" si="6"/>
        <v>-13980571.324459054</v>
      </c>
      <c r="K51" s="299">
        <f t="shared" si="6"/>
        <v>22094821.610438175</v>
      </c>
      <c r="L51" s="299">
        <f t="shared" si="6"/>
        <v>22591621.309279531</v>
      </c>
      <c r="M51" s="299">
        <f t="shared" si="6"/>
        <v>58806907.198716775</v>
      </c>
      <c r="N51" s="299">
        <f t="shared" si="6"/>
        <v>56821396.688870214</v>
      </c>
      <c r="O51" s="299">
        <f t="shared" si="6"/>
        <v>58606048.267607652</v>
      </c>
      <c r="P51" s="299">
        <f t="shared" si="6"/>
        <v>60438877.404593065</v>
      </c>
    </row>
    <row r="52" spans="2:16" ht="13.2">
      <c r="B52" s="265"/>
      <c r="C52" s="265" t="s">
        <v>40</v>
      </c>
      <c r="D52" s="272"/>
      <c r="E52" s="299">
        <f>'Phase I - Pro Forma'!F42+'Phase II - Pro Forma'!F42</f>
        <v>0</v>
      </c>
      <c r="F52" s="299">
        <f>'Phase I - Pro Forma'!G42+'Phase II - Pro Forma'!G42</f>
        <v>0</v>
      </c>
      <c r="G52" s="299">
        <f>'Phase I - Pro Forma'!H42+'Phase II - Pro Forma'!H42</f>
        <v>0</v>
      </c>
      <c r="H52" s="299">
        <f>'Phase I - Pro Forma'!I42+'Phase II - Pro Forma'!I42</f>
        <v>0</v>
      </c>
      <c r="I52" s="299">
        <f>'Phase I - Pro Forma'!J42+'Phase II - Pro Forma'!J42</f>
        <v>0</v>
      </c>
      <c r="J52" s="299">
        <f>'Phase I - Pro Forma'!K42+'Phase II - Pro Forma'!K42</f>
        <v>328066036.28094637</v>
      </c>
      <c r="K52" s="299">
        <f>'Phase I - Pro Forma'!L42+'Phase II - Pro Forma'!L42</f>
        <v>336937459.47454196</v>
      </c>
      <c r="L52" s="299">
        <f>'Phase I - Pro Forma'!M42+'Phase II - Pro Forma'!M42</f>
        <v>346029797.55068785</v>
      </c>
      <c r="M52" s="299">
        <f>'Phase I - Pro Forma'!N42+'Phase II - Pro Forma'!N42</f>
        <v>1026655437.1848044</v>
      </c>
      <c r="N52" s="299">
        <f>'Phase I - Pro Forma'!O42+'Phase II - Pro Forma'!O42</f>
        <v>1058930047.8248339</v>
      </c>
      <c r="O52" s="299">
        <f>'Phase I - Pro Forma'!P42+'Phase II - Pro Forma'!P42</f>
        <v>1092076344.4332223</v>
      </c>
      <c r="P52" s="299">
        <f>'Phase I - Pro Forma'!Q42+'Phase II - Pro Forma'!Q42</f>
        <v>1126115324.48666</v>
      </c>
    </row>
    <row r="53" spans="2:16" ht="13.2">
      <c r="B53" s="736" t="s">
        <v>13</v>
      </c>
      <c r="C53" s="736"/>
      <c r="D53" s="272"/>
      <c r="E53" s="299">
        <f>IF(E$15='Phase I - Summary'!$D$24,'Phase I - Pro Forma'!F43+'Phase II - Pro Forma'!F43,0)</f>
        <v>0</v>
      </c>
      <c r="F53" s="299">
        <f>IF(F$15='Phase I - Summary'!$D$24,'Phase I - Pro Forma'!G43+'Phase II - Pro Forma'!G43,0)</f>
        <v>0</v>
      </c>
      <c r="G53" s="299">
        <f>IF(G$15='Phase I - Summary'!$D$24,'Phase I - Pro Forma'!H43+'Phase II - Pro Forma'!H43,0)</f>
        <v>0</v>
      </c>
      <c r="H53" s="299">
        <f>IF(H$15='Phase I - Summary'!$D$24,'Phase I - Pro Forma'!I43+'Phase II - Pro Forma'!I43,0)</f>
        <v>0</v>
      </c>
      <c r="I53" s="299">
        <f>IF(I$15='Phase I - Summary'!$D$24,'Phase I - Pro Forma'!J43+'Phase II - Pro Forma'!J43,0)</f>
        <v>0</v>
      </c>
      <c r="J53" s="299">
        <f>IF(J$15='Phase I - Summary'!$D$24,'Phase I - Pro Forma'!K43+'Phase II - Pro Forma'!K43,0)</f>
        <v>-3280660.3628094639</v>
      </c>
      <c r="K53" s="299">
        <f>IF(K$15='Phase I - Summary'!$D$24,'Phase I - Pro Forma'!L43+'Phase II - Pro Forma'!L43,0)</f>
        <v>0</v>
      </c>
      <c r="L53" s="299">
        <f>IF(L$15='Phase I - Summary'!$D$24,'Phase I - Pro Forma'!M43+'Phase II - Pro Forma'!M43,0)</f>
        <v>0</v>
      </c>
      <c r="M53" s="299">
        <f>IF(M$15='Phase I - Summary'!$D$24,'Phase I - Pro Forma'!N43+'Phase II - Pro Forma'!N43,0)</f>
        <v>0</v>
      </c>
      <c r="N53" s="299">
        <f>IF(N$15='Phase I - Summary'!$D$24,'Phase I - Pro Forma'!O43+'Phase II - Pro Forma'!O43,0)</f>
        <v>0</v>
      </c>
      <c r="O53" s="299">
        <f>IF(O$15='Phase I - Summary'!$D$24,'Phase I - Pro Forma'!P43+'Phase II - Pro Forma'!P43,0)</f>
        <v>0</v>
      </c>
      <c r="P53" s="299">
        <f>IF(P$15='Phase I - Summary'!$D$24,'Phase I - Pro Forma'!Q43+'Phase II - Pro Forma'!Q43,0)</f>
        <v>0</v>
      </c>
    </row>
    <row r="54" spans="2:16" ht="13.2">
      <c r="B54" s="736" t="s">
        <v>3</v>
      </c>
      <c r="C54" s="736"/>
      <c r="D54" s="272"/>
      <c r="E54" s="299">
        <f>E48</f>
        <v>148677820</v>
      </c>
      <c r="F54" s="299">
        <f t="shared" ref="F54:P54" si="7">F48</f>
        <v>0</v>
      </c>
      <c r="G54" s="299">
        <f t="shared" ca="1" si="7"/>
        <v>102956174.95978165</v>
      </c>
      <c r="H54" s="299">
        <f t="shared" ca="1" si="7"/>
        <v>102031510.95978165</v>
      </c>
      <c r="I54" s="299">
        <f t="shared" ca="1" si="7"/>
        <v>102031510.95978165</v>
      </c>
      <c r="J54" s="299">
        <f t="shared" ca="1" si="7"/>
        <v>176798911.69629636</v>
      </c>
      <c r="K54" s="299">
        <f t="shared" ca="1" si="7"/>
        <v>175828021.69629636</v>
      </c>
      <c r="L54" s="299">
        <f t="shared" ca="1" si="7"/>
        <v>175828021.69629636</v>
      </c>
      <c r="M54" s="299">
        <f t="shared" si="7"/>
        <v>0</v>
      </c>
      <c r="N54" s="299">
        <f t="shared" si="7"/>
        <v>0</v>
      </c>
      <c r="O54" s="299">
        <f t="shared" si="7"/>
        <v>0</v>
      </c>
      <c r="P54" s="299">
        <f t="shared" si="7"/>
        <v>0</v>
      </c>
    </row>
    <row r="55" spans="2:16" ht="13.2">
      <c r="B55" s="295" t="s">
        <v>6</v>
      </c>
      <c r="C55" s="296"/>
      <c r="D55" s="296"/>
      <c r="E55" s="307">
        <f>'Phase I - Pro Forma'!F46+'Phase II - Pro Forma'!F46</f>
        <v>-148677820</v>
      </c>
      <c r="F55" s="307">
        <f>'Phase I - Pro Forma'!G46+'Phase II - Pro Forma'!G46</f>
        <v>0</v>
      </c>
      <c r="G55" s="307">
        <f>'Phase I - Pro Forma'!H46+'Phase II - Pro Forma'!H46</f>
        <v>-86527074.233333334</v>
      </c>
      <c r="H55" s="307">
        <f>'Phase I - Pro Forma'!I46+'Phase II - Pro Forma'!I46</f>
        <v>-86527074.233333334</v>
      </c>
      <c r="I55" s="307">
        <f>'Phase I - Pro Forma'!J46+'Phase II - Pro Forma'!J46</f>
        <v>-86527074.233333334</v>
      </c>
      <c r="J55" s="307">
        <f>'Phase I - Pro Forma'!K46+'Phase II - Pro Forma'!K46</f>
        <v>-148493181.62339434</v>
      </c>
      <c r="K55" s="307">
        <f>'Phase I - Pro Forma'!L46+'Phase II - Pro Forma'!L46</f>
        <v>-112417788.6884971</v>
      </c>
      <c r="L55" s="307">
        <f>'Phase I - Pro Forma'!M46+'Phase II - Pro Forma'!M46</f>
        <v>-111920988.98965575</v>
      </c>
      <c r="M55" s="307">
        <f>'Phase I - Pro Forma'!N46+'Phase II - Pro Forma'!N46</f>
        <v>55083783.620011598</v>
      </c>
      <c r="N55" s="307">
        <f>'Phase I - Pro Forma'!O46+'Phase II - Pro Forma'!O46</f>
        <v>56821396.688870214</v>
      </c>
      <c r="O55" s="307">
        <f>'Phase I - Pro Forma'!P46+'Phase II - Pro Forma'!P46</f>
        <v>58606048.267607644</v>
      </c>
      <c r="P55" s="307">
        <f>'Phase I - Pro Forma'!Q46+'Phase II - Pro Forma'!Q46</f>
        <v>1175293048.6463864</v>
      </c>
    </row>
    <row r="56" spans="2:16" ht="13.2">
      <c r="B56" s="249" t="s">
        <v>51</v>
      </c>
      <c r="C56" s="267"/>
      <c r="D56" s="279"/>
      <c r="E56" s="307">
        <f ca="1">'Phase I - Pro Forma'!F76+'Phase II - Pro Forma'!F75</f>
        <v>-148677820</v>
      </c>
      <c r="F56" s="307">
        <f ca="1">'Phase I - Pro Forma'!G76+'Phase II - Pro Forma'!G75</f>
        <v>0</v>
      </c>
      <c r="G56" s="307">
        <f ca="1">'Phase I - Pro Forma'!H76+'Phase II - Pro Forma'!H75</f>
        <v>-14234785.807418287</v>
      </c>
      <c r="H56" s="307">
        <f ca="1">'Phase I - Pro Forma'!I76+'Phase II - Pro Forma'!I75</f>
        <v>0</v>
      </c>
      <c r="I56" s="307">
        <f ca="1">'Phase I - Pro Forma'!J76+'Phase II - Pro Forma'!J75</f>
        <v>0</v>
      </c>
      <c r="J56" s="307">
        <f ca="1">'Phase I - Pro Forma'!K76+'Phase II - Pro Forma'!K75</f>
        <v>-341887875.74866951</v>
      </c>
      <c r="K56" s="307">
        <f ca="1">'Phase I - Pro Forma'!L76+'Phase II - Pro Forma'!L75</f>
        <v>18371698.031732999</v>
      </c>
      <c r="L56" s="307">
        <f ca="1">'Phase I - Pro Forma'!M76+'Phase II - Pro Forma'!M75</f>
        <v>18868497.730574351</v>
      </c>
      <c r="M56" s="307">
        <f ca="1">'Phase I - Pro Forma'!N76+'Phase II - Pro Forma'!N75</f>
        <v>55083783.620011598</v>
      </c>
      <c r="N56" s="307">
        <f ca="1">'Phase I - Pro Forma'!O76+'Phase II - Pro Forma'!O75</f>
        <v>56821396.688870214</v>
      </c>
      <c r="O56" s="307">
        <f ca="1">'Phase I - Pro Forma'!P76+'Phase II - Pro Forma'!P75</f>
        <v>58606048.267607644</v>
      </c>
      <c r="P56" s="307">
        <f ca="1">'Phase I - Pro Forma'!Q76+'Phase II - Pro Forma'!Q75</f>
        <v>1634303343.2213194</v>
      </c>
    </row>
    <row r="57" spans="2:16" ht="13.8" thickBot="1">
      <c r="B57" s="274"/>
      <c r="C57" s="279"/>
      <c r="D57" s="279"/>
      <c r="E57" s="299"/>
      <c r="F57" s="299"/>
      <c r="G57" s="299"/>
      <c r="H57" s="299"/>
      <c r="I57" s="299"/>
      <c r="J57" s="299"/>
      <c r="K57" s="299"/>
      <c r="L57" s="299"/>
      <c r="M57" s="299"/>
      <c r="N57" s="299"/>
      <c r="O57" s="299"/>
      <c r="P57" s="251"/>
    </row>
    <row r="58" spans="2:16" ht="13.8" thickBot="1">
      <c r="B58" s="259" t="s">
        <v>684</v>
      </c>
      <c r="C58" s="259"/>
      <c r="E58" s="307">
        <f ca="1">NPV(H58,F56:P56)</f>
        <v>563955225.43810558</v>
      </c>
      <c r="H58" s="454">
        <f>'Phase I - CF MF Market Rental'!M27</f>
        <v>0.08</v>
      </c>
      <c r="I58" s="251" t="s">
        <v>686</v>
      </c>
      <c r="J58" s="251"/>
      <c r="K58" s="251"/>
      <c r="L58" s="251"/>
      <c r="M58" s="251"/>
      <c r="N58" s="252"/>
      <c r="O58" s="252"/>
      <c r="P58" s="251"/>
    </row>
    <row r="59" spans="2:16" ht="13.2">
      <c r="B59" s="259" t="s">
        <v>12</v>
      </c>
      <c r="C59" s="259"/>
      <c r="D59" s="308"/>
      <c r="E59" s="299">
        <f ca="1">SUM(E58,E56)</f>
        <v>415277405.43810558</v>
      </c>
      <c r="F59" s="251"/>
      <c r="G59" s="251"/>
      <c r="H59" s="251"/>
      <c r="J59" s="251"/>
      <c r="K59" s="251"/>
      <c r="L59" s="251"/>
      <c r="M59" s="251"/>
      <c r="N59" s="280"/>
      <c r="O59" s="280"/>
      <c r="P59" s="251"/>
    </row>
    <row r="60" spans="2:16" ht="13.2">
      <c r="B60" s="249" t="s">
        <v>29</v>
      </c>
      <c r="C60" s="259"/>
      <c r="D60" s="259"/>
      <c r="E60" s="309">
        <f>'Phase I - Summary'!J36</f>
        <v>0.6</v>
      </c>
      <c r="F60" s="251"/>
      <c r="G60" s="251"/>
      <c r="H60" s="251"/>
      <c r="I60" s="268"/>
      <c r="J60" s="251"/>
      <c r="K60" s="251"/>
      <c r="L60" s="251"/>
      <c r="M60" s="251"/>
      <c r="N60" s="252"/>
      <c r="O60" s="252"/>
      <c r="P60" s="251"/>
    </row>
    <row r="61" spans="2:16" ht="13.2">
      <c r="B61" s="259" t="s">
        <v>41</v>
      </c>
      <c r="C61" s="259"/>
      <c r="D61" s="259"/>
      <c r="E61" s="309">
        <f>IRR(E55:P55)</f>
        <v>7.9261567902711993E-2</v>
      </c>
      <c r="F61" s="251"/>
      <c r="G61" s="251"/>
      <c r="H61" s="268" t="s">
        <v>42</v>
      </c>
      <c r="I61" s="251"/>
      <c r="J61" s="251"/>
      <c r="K61" s="319">
        <f>'Phase I - Summary'!H14+'Phase II - Summary'!H14</f>
        <v>148677820</v>
      </c>
      <c r="L61" s="251"/>
      <c r="M61" s="251"/>
      <c r="N61" s="252"/>
      <c r="O61" s="252"/>
      <c r="P61" s="251"/>
    </row>
    <row r="62" spans="2:16" ht="13.2">
      <c r="B62" s="259" t="s">
        <v>35</v>
      </c>
      <c r="C62" s="259"/>
      <c r="D62" s="259"/>
      <c r="E62" s="309">
        <f ca="1">IRR(E56:P56)</f>
        <v>0.18359533490457847</v>
      </c>
      <c r="F62" s="251"/>
      <c r="G62" s="251"/>
      <c r="H62" s="268" t="s">
        <v>43</v>
      </c>
      <c r="I62" s="251"/>
      <c r="J62" s="251"/>
      <c r="K62" s="299">
        <f>P52</f>
        <v>1126115324.48666</v>
      </c>
      <c r="L62" s="251"/>
      <c r="M62" s="251"/>
      <c r="N62" s="252"/>
      <c r="O62" s="252"/>
      <c r="P62" s="251"/>
    </row>
    <row r="63" spans="2:16" ht="13.2">
      <c r="O63" s="255"/>
      <c r="P63" s="256"/>
    </row>
    <row r="64" spans="2:16" s="257" customFormat="1" ht="13.2">
      <c r="B64" s="744" t="s">
        <v>23</v>
      </c>
      <c r="C64" s="744"/>
      <c r="D64" s="744"/>
      <c r="E64" s="745"/>
      <c r="F64" s="745"/>
      <c r="G64" s="745"/>
      <c r="H64" s="745"/>
      <c r="I64" s="745"/>
      <c r="J64" s="745"/>
      <c r="K64" s="745"/>
      <c r="L64" s="745"/>
      <c r="M64" s="745"/>
      <c r="N64" s="745"/>
      <c r="O64" s="745"/>
      <c r="P64" s="745"/>
    </row>
    <row r="65" spans="2:16" ht="13.2"/>
    <row r="66" spans="2:16" s="250" customFormat="1" ht="13.2">
      <c r="C66" s="267" t="s">
        <v>14</v>
      </c>
      <c r="D66" s="277"/>
      <c r="E66" s="276">
        <f>E15</f>
        <v>2020</v>
      </c>
      <c r="F66" s="276">
        <f t="shared" ref="F66:M66" si="8">E66+1</f>
        <v>2021</v>
      </c>
      <c r="G66" s="264">
        <f t="shared" si="8"/>
        <v>2022</v>
      </c>
      <c r="H66" s="264">
        <f t="shared" si="8"/>
        <v>2023</v>
      </c>
      <c r="I66" s="264">
        <f t="shared" si="8"/>
        <v>2024</v>
      </c>
      <c r="J66" s="264">
        <f t="shared" si="8"/>
        <v>2025</v>
      </c>
      <c r="K66" s="264">
        <f t="shared" si="8"/>
        <v>2026</v>
      </c>
      <c r="L66" s="264">
        <f t="shared" si="8"/>
        <v>2027</v>
      </c>
      <c r="M66" s="264">
        <f t="shared" si="8"/>
        <v>2028</v>
      </c>
      <c r="N66" s="276">
        <f>M66+1</f>
        <v>2029</v>
      </c>
      <c r="O66" s="276">
        <f t="shared" ref="O66:P66" si="9">N66+1</f>
        <v>2030</v>
      </c>
      <c r="P66" s="276">
        <f t="shared" si="9"/>
        <v>2031</v>
      </c>
    </row>
    <row r="67" spans="2:16" ht="13.2">
      <c r="B67" s="259" t="s">
        <v>7</v>
      </c>
      <c r="C67" s="259"/>
      <c r="D67" s="259"/>
      <c r="N67" s="737"/>
      <c r="O67" s="737"/>
    </row>
    <row r="68" spans="2:16" ht="13.2">
      <c r="B68" s="257"/>
      <c r="C68" s="265" t="s">
        <v>687</v>
      </c>
      <c r="D68" s="272"/>
      <c r="E68" s="277">
        <f>IF(E$66&gt;='Phase I - Summary'!$D$21,'Phase I - CF MF Market Rental'!$G$12/'Phase I - Summary'!$D$22,0)</f>
        <v>0</v>
      </c>
      <c r="F68" s="277">
        <f>IF(F$66&gt;='Phase I - Summary'!$D$21,'Phase I - CF MF Market Rental'!$G$12/'Phase I - Summary'!$D$22,0)</f>
        <v>0</v>
      </c>
      <c r="G68" s="321">
        <f>IF(G$66&gt;='Phase I - Summary'!$D$21,'Phase I - CF MF Market Rental'!$G$12/'Phase I - Summary'!$D$22,0)</f>
        <v>117</v>
      </c>
      <c r="H68" s="321">
        <f>IF(H$66&gt;='Phase I - Summary'!$D$21,'Phase I - CF MF Market Rental'!$G$12/'Phase I - Summary'!$D$22,0)</f>
        <v>117</v>
      </c>
      <c r="I68" s="321">
        <f>IF(I$66&gt;='Phase I - Summary'!$D$21,'Phase I - CF MF Market Rental'!$G$12/'Phase I - Summary'!$D$22,0)</f>
        <v>117</v>
      </c>
      <c r="J68" s="277">
        <f>ROUNDDOWN(IF(J$66&lt;'Phase II - Summary'!$D$23,'Phase II - CF MF Market Rental'!$G$12/'Phase II - Summary'!$D$22,0),0)</f>
        <v>126</v>
      </c>
      <c r="K68" s="277">
        <f>ROUNDDOWN(IF(K$66&lt;'Phase II - Summary'!$D$23,'Phase II - CF MF Market Rental'!$G$12/'Phase II - Summary'!$D$22,0),0)</f>
        <v>126</v>
      </c>
      <c r="L68" s="277">
        <f>ROUNDDOWN(IF(L$66&lt;'Phase II - Summary'!$D$23,'Phase II - CF MF Market Rental'!$G$12/'Phase II - Summary'!$D$22,0),0)</f>
        <v>126</v>
      </c>
      <c r="M68" s="277">
        <f>ROUNDDOWN(IF(M$66&lt;'Phase II - Summary'!$D$23,'Phase II - CF MF Market Rental'!$G$12/'Phase II - Summary'!$D$22,0),0)</f>
        <v>0</v>
      </c>
      <c r="N68" s="277">
        <f>ROUNDDOWN(IF(N$66&lt;'Phase II - Summary'!$D$23,'Phase II - CF MF Market Rental'!$G$12/'Phase II - Summary'!$D$22,0),0)</f>
        <v>0</v>
      </c>
      <c r="O68" s="277">
        <f>ROUNDDOWN(IF(O$66&lt;'Phase II - Summary'!$D$23,'Phase II - CF MF Market Rental'!$G$12/'Phase II - Summary'!$D$22,0),0)</f>
        <v>0</v>
      </c>
      <c r="P68" s="277">
        <f>ROUNDDOWN(IF(P$66&lt;'Phase II - Summary'!$D$23,'Phase II - CF MF Market Rental'!$G$12/'Phase II - Summary'!$D$22,0),0)</f>
        <v>0</v>
      </c>
    </row>
    <row r="69" spans="2:16" ht="13.2">
      <c r="B69" s="257"/>
      <c r="C69" s="265" t="s">
        <v>674</v>
      </c>
      <c r="D69" s="272"/>
      <c r="E69" s="277">
        <f>IF(E$66&gt;='Phase I - Summary'!$D$21,'Phase I - CF Affordable Rental'!$G$12/'Phase I - Summary'!$D$22,0)</f>
        <v>0</v>
      </c>
      <c r="F69" s="277">
        <f>IF(F$66&gt;='Phase I - Summary'!$D$21,'Phase I - CF Affordable Rental'!$G$12/'Phase I - Summary'!$D$22,0)</f>
        <v>0</v>
      </c>
      <c r="G69" s="321">
        <f>IF(G$66&gt;='Phase I - Summary'!$D$21,'Phase I - CF Affordable Rental'!$G$12/'Phase I - Summary'!$D$22,0)</f>
        <v>50</v>
      </c>
      <c r="H69" s="321">
        <f>IF(H$66&gt;='Phase I - Summary'!$D$21,'Phase I - CF Affordable Rental'!$G$12/'Phase I - Summary'!$D$22,0)</f>
        <v>50</v>
      </c>
      <c r="I69" s="321">
        <f>IF(I$66&gt;='Phase I - Summary'!$D$21,'Phase I - CF Affordable Rental'!$G$12/'Phase I - Summary'!$D$22,0)</f>
        <v>50</v>
      </c>
      <c r="J69" s="277">
        <f>ROUNDDOWN(IF(J$66&lt;'Phase II - Summary'!$D$23,'Phase II - CF Affordable Rental'!$G$12/'Phase II - Summary'!$D$22,0),0)</f>
        <v>54</v>
      </c>
      <c r="K69" s="277">
        <f>ROUNDDOWN(IF(K$66&lt;'Phase II - Summary'!$D$23,'Phase II - CF Affordable Rental'!$G$12/'Phase II - Summary'!$D$22,0),0)</f>
        <v>54</v>
      </c>
      <c r="L69" s="277">
        <f>ROUNDDOWN(IF(L$66&lt;'Phase II - Summary'!$D$23,'Phase II - CF Affordable Rental'!$G$12/'Phase II - Summary'!$D$22,0),0)</f>
        <v>54</v>
      </c>
      <c r="M69" s="277">
        <f>ROUNDDOWN(IF(M$66&lt;'Phase II - Summary'!$D$23,'Phase II - CF Affordable Rental'!$G$12/'Phase II - Summary'!$D$22,0),0)</f>
        <v>0</v>
      </c>
      <c r="N69" s="277">
        <f>ROUNDDOWN(IF(N$66&lt;'Phase II - Summary'!$D$23,'Phase II - CF Affordable Rental'!$G$12/'Phase II - Summary'!$D$22,0),0)</f>
        <v>0</v>
      </c>
      <c r="O69" s="277">
        <f>ROUNDDOWN(IF(O$66&lt;'Phase II - Summary'!$D$23,'Phase II - CF Affordable Rental'!$G$12/'Phase II - Summary'!$D$22,0),0)</f>
        <v>0</v>
      </c>
      <c r="P69" s="277">
        <f>ROUNDDOWN(IF(P$66&lt;'Phase II - Summary'!$D$23,'Phase II - CF Affordable Rental'!$G$12/'Phase II - Summary'!$D$22,0),0)</f>
        <v>0</v>
      </c>
    </row>
    <row r="70" spans="2:16" ht="13.2">
      <c r="B70" s="736" t="s">
        <v>688</v>
      </c>
      <c r="C70" s="736"/>
      <c r="D70" s="272"/>
      <c r="E70" s="277">
        <f>IF(E$66&gt;='Phase I - Summary'!$D$21,'Phase I - CF Hotel'!$G$9/'Phase I - Summary'!$D$22,0)</f>
        <v>0</v>
      </c>
      <c r="F70" s="277">
        <f>IF(F$66&gt;='Phase I - Summary'!$D$21,'Phase I - CF Hotel'!$G$9/'Phase I - Summary'!$D$22,0)</f>
        <v>0</v>
      </c>
      <c r="G70" s="277">
        <f>IF(G$66&gt;='Phase I - Summary'!$D$21,'Phase I - CF Hotel'!$G$9/'Phase I - Summary'!$D$22,0)</f>
        <v>0</v>
      </c>
      <c r="H70" s="277">
        <f>IF(H$66&gt;='Phase I - Summary'!$D$21,'Phase I - CF Hotel'!$G$9/'Phase I - Summary'!$D$22,0)</f>
        <v>0</v>
      </c>
      <c r="I70" s="277">
        <f>IF(I$66&gt;='Phase I - Summary'!$D$21,'Phase I - CF Hotel'!$G$9/'Phase I - Summary'!$D$22,0)</f>
        <v>0</v>
      </c>
      <c r="J70" s="277">
        <f>ROUNDDOWN(IF(J$66&lt;'Phase II - Summary'!$D$23,'Phase II - CF Hotel'!$G$15/'Phase II - Summary'!$D$22,0),0)</f>
        <v>91</v>
      </c>
      <c r="K70" s="277">
        <f>ROUNDDOWN(IF(K$66&lt;'Phase II - Summary'!$D$23,'Phase II - CF Hotel'!$G$15/'Phase II - Summary'!$D$22,0),0)</f>
        <v>91</v>
      </c>
      <c r="L70" s="277">
        <f>ROUNDDOWN(IF(L$66&lt;'Phase II - Summary'!$D$23,'Phase II - CF Hotel'!$G$15/'Phase II - Summary'!$D$22,0),0)</f>
        <v>91</v>
      </c>
      <c r="M70" s="277">
        <f>ROUNDDOWN(IF(M$66&lt;'Phase II - Summary'!$D$23,'Phase II - CF Hotel'!$G$15/'Phase II - Summary'!$D$22,0),0)</f>
        <v>0</v>
      </c>
      <c r="N70" s="277">
        <f>ROUNDDOWN(IF(N$66&lt;'Phase II - Summary'!$D$23,'Phase II - CF Hotel'!$G$15/'Phase II - Summary'!$D$22,0),0)</f>
        <v>0</v>
      </c>
      <c r="O70" s="277">
        <f>ROUNDDOWN(IF(O$66&lt;'Phase II - Summary'!$D$23,'Phase II - CF Hotel'!$G$15/'Phase II - Summary'!$D$22,0),0)</f>
        <v>0</v>
      </c>
      <c r="P70" s="277">
        <f>ROUNDDOWN(IF(P$66&lt;'Phase II - Summary'!$D$23,'Phase II - CF Hotel'!$G$15/'Phase II - Summary'!$D$22,0),0)</f>
        <v>0</v>
      </c>
    </row>
    <row r="71" spans="2:16" ht="13.2">
      <c r="B71" s="736" t="s">
        <v>690</v>
      </c>
      <c r="C71" s="736"/>
      <c r="D71" s="272"/>
      <c r="E71" s="277">
        <f>IF(E$66&gt;='Phase I - Summary'!$D$21,'Phase I - CF Retail'!$G$14/'Phase I - Summary'!$D$22,0)</f>
        <v>0</v>
      </c>
      <c r="F71" s="277">
        <f>IF(F$66&gt;='Phase I - Summary'!$D$21,'Phase I - CF Retail'!$G$14/'Phase I - Summary'!$D$22,0)</f>
        <v>0</v>
      </c>
      <c r="G71" s="321">
        <f>IF(G$66&gt;='Phase I - Summary'!$D$21,'Phase I - CF Retail'!$G$14/'Phase I - Summary'!$D$22,0)</f>
        <v>21.121866666666666</v>
      </c>
      <c r="H71" s="321">
        <f>IF(H$66&gt;='Phase I - Summary'!$D$21,'Phase I - CF Retail'!$G$14/'Phase I - Summary'!$D$22,0)</f>
        <v>21.121866666666666</v>
      </c>
      <c r="I71" s="321">
        <f>IF(I$66&gt;='Phase I - Summary'!$D$21,'Phase I - CF Retail'!$G$14/'Phase I - Summary'!$D$22,0)</f>
        <v>21.121866666666666</v>
      </c>
      <c r="J71" s="277">
        <f>ROUNDDOWN(IF(J$66&lt;'Phase II - Summary'!$D$23,'Phase II - CF Retail'!$G$14/'Phase II - Summary'!$D$22,0),0)</f>
        <v>27</v>
      </c>
      <c r="K71" s="277">
        <f>ROUNDDOWN(IF(K$66&lt;'Phase II - Summary'!$D$23,'Phase II - CF Retail'!$G$14/'Phase II - Summary'!$D$22,0),0)</f>
        <v>27</v>
      </c>
      <c r="L71" s="277">
        <f>ROUNDDOWN(IF(L$66&lt;'Phase II - Summary'!$D$23,'Phase II - CF Retail'!$G$14/'Phase II - Summary'!$D$22,0),0)</f>
        <v>27</v>
      </c>
      <c r="M71" s="277">
        <f>ROUNDDOWN(IF(M$66&lt;'Phase II - Summary'!$D$23,'Phase II - CF Retail'!$G$14/'Phase II - Summary'!$D$22,0),0)</f>
        <v>0</v>
      </c>
      <c r="N71" s="277">
        <f>ROUNDDOWN(IF(N$66&lt;'Phase II - Summary'!$D$23,'Phase II - CF Retail'!$G$14/'Phase II - Summary'!$D$22,0),0)</f>
        <v>0</v>
      </c>
      <c r="O71" s="277">
        <f>ROUNDDOWN(IF(O$66&lt;'Phase II - Summary'!$D$23,'Phase II - CF Retail'!$G$14/'Phase II - Summary'!$D$22,0),0)</f>
        <v>0</v>
      </c>
      <c r="P71" s="277">
        <f>ROUNDDOWN(IF(P$66&lt;'Phase II - Summary'!$D$23,'Phase II - CF Retail'!$G$14/'Phase II - Summary'!$D$22,0),0)</f>
        <v>0</v>
      </c>
    </row>
    <row r="72" spans="2:16" ht="13.2">
      <c r="B72" s="736" t="s">
        <v>689</v>
      </c>
      <c r="C72" s="736"/>
      <c r="D72" s="272"/>
      <c r="E72" s="277">
        <f>IF(E$66&gt;='Phase I - Summary'!$D$21,SUM('Phase I - CF MF Market Rental'!$G$20,'Phase I - CF Affordable Rental'!$G$20)/'Phase I - Summary'!$D$22,0)</f>
        <v>0</v>
      </c>
      <c r="F72" s="277">
        <f>IF(F$66&gt;='Phase I - Summary'!$D$21,SUM('Phase I - CF MF Market Rental'!$G$20,'Phase I - CF Affordable Rental'!$G$20)/'Phase I - Summary'!$D$22,0)</f>
        <v>0</v>
      </c>
      <c r="G72" s="321">
        <f>IF(G$66&gt;='Phase I - Summary'!$D$21,SUM('Phase I - CF MF Market Rental'!$G$20,'Phase I - CF Affordable Rental'!$G$20)/'Phase I - Summary'!$D$22,0)</f>
        <v>111.33333333333333</v>
      </c>
      <c r="H72" s="321">
        <f>IF(H$66&gt;='Phase I - Summary'!$D$21,SUM('Phase I - CF MF Market Rental'!$G$20,'Phase I - CF Affordable Rental'!$G$20)/'Phase I - Summary'!$D$22,0)</f>
        <v>111.33333333333333</v>
      </c>
      <c r="I72" s="321">
        <f>IF(I$66&gt;='Phase I - Summary'!$D$21,SUM('Phase I - CF MF Market Rental'!$G$20,'Phase I - CF Affordable Rental'!$G$20)/'Phase I - Summary'!$D$22,0)</f>
        <v>111.33333333333333</v>
      </c>
      <c r="J72" s="277">
        <f>ROUNDDOWN(IF(J$66&lt;'Phase II - Summary'!$D$23,SUM('Phase II - CF MF Market Rental'!$G$20,'Phase II - CF Affordable Rental'!$G$20)/'Phase II - Summary'!$D$22,0),0)</f>
        <v>120</v>
      </c>
      <c r="K72" s="277">
        <f>ROUNDDOWN(IF(K$66&lt;'Phase II - Summary'!$D$23,SUM('Phase II - CF MF Market Rental'!$G$20,'Phase II - CF Affordable Rental'!$G$20)/'Phase II - Summary'!$D$22,0),0)</f>
        <v>120</v>
      </c>
      <c r="L72" s="277">
        <f>ROUNDDOWN(IF(L$66&lt;'Phase II - Summary'!$D$23,SUM('Phase II - CF MF Market Rental'!$G$20,'Phase II - CF Affordable Rental'!$G$20)/'Phase II - Summary'!$D$22,0),0)</f>
        <v>120</v>
      </c>
      <c r="M72" s="277">
        <f>ROUNDDOWN(IF(M$66&lt;'Phase II - Summary'!$D$23,SUM('Phase II - CF MF Market Rental'!$G$20,'Phase II - CF Affordable Rental'!$G$20)/'Phase II - Summary'!$D$22,0),0)</f>
        <v>0</v>
      </c>
      <c r="N72" s="277">
        <f>ROUNDDOWN(IF(N$66&lt;'Phase II - Summary'!$D$23,SUM('Phase II - CF MF Market Rental'!$G$20,'Phase II - CF Affordable Rental'!$G$20)/'Phase II - Summary'!$D$22,0),0)</f>
        <v>0</v>
      </c>
      <c r="O72" s="277">
        <f>ROUNDDOWN(IF(O$66&lt;'Phase II - Summary'!$D$23,SUM('Phase II - CF MF Market Rental'!$G$20,'Phase II - CF Affordable Rental'!$G$20)/'Phase II - Summary'!$D$22,0),0)</f>
        <v>0</v>
      </c>
      <c r="P72" s="277">
        <f>ROUNDDOWN(IF(P$66&lt;'Phase II - Summary'!$D$23,SUM('Phase II - CF MF Market Rental'!$G$20,'Phase II - CF Affordable Rental'!$G$20)/'Phase II - Summary'!$D$22,0),0)</f>
        <v>0</v>
      </c>
    </row>
    <row r="73" spans="2:16" ht="13.2"/>
    <row r="74" spans="2:16" ht="13.2">
      <c r="B74" s="259" t="s">
        <v>691</v>
      </c>
      <c r="C74" s="259"/>
      <c r="D74" s="259"/>
      <c r="F74" s="251"/>
      <c r="G74" s="251"/>
      <c r="H74" s="251"/>
      <c r="I74" s="251"/>
      <c r="K74" s="251"/>
      <c r="L74" s="251"/>
      <c r="M74" s="251"/>
      <c r="N74" s="273"/>
      <c r="O74" s="273"/>
      <c r="P74" s="251"/>
    </row>
    <row r="75" spans="2:16" ht="13.2">
      <c r="B75" s="257"/>
      <c r="C75" s="265" t="s">
        <v>687</v>
      </c>
      <c r="D75" s="250" t="s">
        <v>15</v>
      </c>
      <c r="E75" s="324">
        <f>IF(E$66&gt;='Phase I - Summary'!$D$21,'Phase I - CF MF Market Rental'!$G$15/'Phase I - Summary'!$D$22,0)</f>
        <v>0</v>
      </c>
      <c r="F75" s="324">
        <f>IF(F$66&gt;='Phase I - Summary'!$D$21,'Phase I - CF MF Market Rental'!$G$15/'Phase I - Summary'!$D$22,0)</f>
        <v>0</v>
      </c>
      <c r="G75" s="324">
        <f>IF(G$66&gt;='Phase I - Summary'!$D$21,'Phase I - CF MF Market Rental'!$G$15/'Phase I - Summary'!$D$22,0)</f>
        <v>117109.28833333332</v>
      </c>
      <c r="H75" s="324">
        <f>IF(H$66&gt;='Phase I - Summary'!$D$21,'Phase I - CF MF Market Rental'!$G$15/'Phase I - Summary'!$D$22,0)</f>
        <v>117109.28833333332</v>
      </c>
      <c r="I75" s="324">
        <f>IF(I$66&gt;='Phase I - Summary'!$D$21,'Phase I - CF MF Market Rental'!$G$15/'Phase I - Summary'!$D$22,0)</f>
        <v>117109.28833333332</v>
      </c>
      <c r="J75" s="324">
        <f>ROUNDDOWN(IF(J$66&lt;'Phase II - Summary'!$D$23,'Phase II - CF MF Market Rental'!$G$15/'Phase II - Summary'!$D$22,0),0)</f>
        <v>126608</v>
      </c>
      <c r="K75" s="324">
        <f>ROUNDDOWN(IF(K$66&lt;'Phase II - Summary'!$D$23,'Phase II - CF MF Market Rental'!$G$15/'Phase II - Summary'!$D$22,0),0)</f>
        <v>126608</v>
      </c>
      <c r="L75" s="324">
        <f>ROUNDDOWN(IF(L$66&lt;'Phase II - Summary'!$D$23,'Phase II - CF MF Market Rental'!$G$15/'Phase II - Summary'!$D$22,0),0)</f>
        <v>126608</v>
      </c>
      <c r="M75" s="324">
        <f>ROUNDDOWN(IF(M$66&lt;'Phase II - Summary'!$D$23,'Phase II - CF MF Market Rental'!$G$15/'Phase II - Summary'!$D$22,0),0)</f>
        <v>0</v>
      </c>
      <c r="N75" s="324">
        <f>ROUNDDOWN(IF(N$66&lt;'Phase II - Summary'!$D$23,'Phase II - CF MF Market Rental'!$G$15/'Phase II - Summary'!$D$22,0),0)</f>
        <v>0</v>
      </c>
      <c r="O75" s="324">
        <f>ROUNDDOWN(IF(O$66&lt;'Phase II - Summary'!$D$23,'Phase II - CF MF Market Rental'!$G$15/'Phase II - Summary'!$D$22,0),0)</f>
        <v>0</v>
      </c>
      <c r="P75" s="324">
        <f>ROUNDDOWN(IF(P$66&lt;'Phase II - Summary'!$D$23,'Phase II - CF MF Market Rental'!$G$15/'Phase II - Summary'!$D$22,0),0)</f>
        <v>0</v>
      </c>
    </row>
    <row r="76" spans="2:16" ht="13.2">
      <c r="B76" s="257"/>
      <c r="C76" s="320" t="s">
        <v>674</v>
      </c>
      <c r="D76" s="250" t="s">
        <v>15</v>
      </c>
      <c r="E76" s="324">
        <f>IF(E$66&gt;='Phase I - Summary'!$D$21,'Phase I - CF Affordable Rental'!$G$15/'Phase I - Summary'!$D$22,0)</f>
        <v>0</v>
      </c>
      <c r="F76" s="324">
        <f>IF(F$66&gt;='Phase I - Summary'!$D$21,'Phase I - CF Affordable Rental'!$G$15/'Phase I - Summary'!$D$22,0)</f>
        <v>0</v>
      </c>
      <c r="G76" s="324">
        <f>IF(G$66&gt;='Phase I - Summary'!$D$21,'Phase I - CF Affordable Rental'!$G$15/'Phase I - Summary'!$D$22,0)</f>
        <v>50189.695</v>
      </c>
      <c r="H76" s="324">
        <f>IF(H$66&gt;='Phase I - Summary'!$D$21,'Phase I - CF Affordable Rental'!$G$15/'Phase I - Summary'!$D$22,0)</f>
        <v>50189.695</v>
      </c>
      <c r="I76" s="324">
        <f>IF(I$66&gt;='Phase I - Summary'!$D$21,'Phase I - CF Affordable Rental'!$G$15/'Phase I - Summary'!$D$22,0)</f>
        <v>50189.695</v>
      </c>
      <c r="J76" s="324">
        <f>ROUNDDOWN(IF(J$66&lt;'Phase II - Summary'!$D$23,'Phase II - CF Affordable Rental'!$G$15/'Phase II - Summary'!$D$22,0),0)</f>
        <v>54260</v>
      </c>
      <c r="K76" s="324">
        <f>ROUNDDOWN(IF(K$66&lt;'Phase II - Summary'!$D$23,'Phase II - CF Affordable Rental'!$G$15/'Phase II - Summary'!$D$22,0),0)</f>
        <v>54260</v>
      </c>
      <c r="L76" s="324">
        <f>ROUNDDOWN(IF(L$66&lt;'Phase II - Summary'!$D$23,'Phase II - CF Affordable Rental'!$G$15/'Phase II - Summary'!$D$22,0),0)</f>
        <v>54260</v>
      </c>
      <c r="M76" s="324">
        <f>ROUNDDOWN(IF(M$66&lt;'Phase II - Summary'!$D$23,'Phase II - CF Affordable Rental'!$G$15/'Phase II - Summary'!$D$22,0),0)</f>
        <v>0</v>
      </c>
      <c r="N76" s="324">
        <f>ROUNDDOWN(IF(N$66&lt;'Phase II - Summary'!$D$23,'Phase II - CF Affordable Rental'!$G$15/'Phase II - Summary'!$D$22,0),0)</f>
        <v>0</v>
      </c>
      <c r="O76" s="324">
        <f>ROUNDDOWN(IF(O$66&lt;'Phase II - Summary'!$D$23,'Phase II - CF Affordable Rental'!$G$15/'Phase II - Summary'!$D$22,0),0)</f>
        <v>0</v>
      </c>
      <c r="P76" s="324">
        <f>ROUNDDOWN(IF(P$66&lt;'Phase II - Summary'!$D$23,'Phase II - CF Affordable Rental'!$G$15/'Phase II - Summary'!$D$22,0),0)</f>
        <v>0</v>
      </c>
    </row>
    <row r="77" spans="2:16" ht="13.2">
      <c r="B77" s="736" t="s">
        <v>24</v>
      </c>
      <c r="C77" s="736"/>
      <c r="D77" s="250" t="s">
        <v>15</v>
      </c>
      <c r="E77" s="324">
        <f>IF(E$66&gt;='Phase I - Summary'!$D$21,'Phase I - CF Commercial'!$G$12/'Phase I - Summary'!$D$22,0)</f>
        <v>0</v>
      </c>
      <c r="F77" s="324">
        <f>IF(F$66&gt;='Phase I - Summary'!$D$21,'Phase I - CF Commercial'!$G$12/'Phase I - Summary'!$D$22,0)</f>
        <v>0</v>
      </c>
      <c r="G77" s="324">
        <f>IF(G$66&gt;='Phase I - Summary'!$D$21,'Phase I - CF Commercial'!$G$12/'Phase I - Summary'!$D$22,0)</f>
        <v>110957.66666666667</v>
      </c>
      <c r="H77" s="324">
        <f>IF(H$66&gt;='Phase I - Summary'!$D$21,'Phase I - CF Commercial'!$G$12/'Phase I - Summary'!$D$22,0)</f>
        <v>110957.66666666667</v>
      </c>
      <c r="I77" s="324">
        <f>IF(I$66&gt;='Phase I - Summary'!$D$21,'Phase I - CF Commercial'!$G$12/'Phase I - Summary'!$D$22,0)</f>
        <v>110957.66666666667</v>
      </c>
      <c r="J77" s="324">
        <f>ROUNDDOWN(IF(J$66&lt;'Phase II - Summary'!$D$23,'Phase II - CF Commercial'!$G$12/'Phase II - Summary'!$D$22,0),0)</f>
        <v>226560</v>
      </c>
      <c r="K77" s="324">
        <f>ROUNDDOWN(IF(K$66&lt;'Phase II - Summary'!$D$23,'Phase II - CF Commercial'!$G$12/'Phase II - Summary'!$D$22,0),0)</f>
        <v>226560</v>
      </c>
      <c r="L77" s="324">
        <f>ROUNDDOWN(IF(L$66&lt;'Phase II - Summary'!$D$23,'Phase II - CF Commercial'!$G$12/'Phase II - Summary'!$D$22,0),0)</f>
        <v>226560</v>
      </c>
      <c r="M77" s="324">
        <f>ROUNDDOWN(IF(M$66&lt;'Phase II - Summary'!$D$23,'Phase II - CF Commercial'!$G$12/'Phase II - Summary'!$D$22,0),0)</f>
        <v>0</v>
      </c>
      <c r="N77" s="324">
        <f>ROUNDDOWN(IF(N$66&lt;'Phase II - Summary'!$D$23,'Phase II - CF Commercial'!$G$12/'Phase II - Summary'!$D$22,0),0)</f>
        <v>0</v>
      </c>
      <c r="O77" s="324">
        <f>ROUNDDOWN(IF(O$66&lt;'Phase II - Summary'!$D$23,'Phase II - CF Commercial'!$G$12/'Phase II - Summary'!$D$22,0),0)</f>
        <v>0</v>
      </c>
      <c r="P77" s="324">
        <f>ROUNDDOWN(IF(P$66&lt;'Phase II - Summary'!$D$23,'Phase II - CF Commercial'!$G$12/'Phase II - Summary'!$D$22,0),0)</f>
        <v>0</v>
      </c>
    </row>
    <row r="78" spans="2:16" ht="13.2">
      <c r="B78" s="736" t="s">
        <v>26</v>
      </c>
      <c r="C78" s="736"/>
      <c r="D78" s="250" t="s">
        <v>15</v>
      </c>
      <c r="E78" s="324">
        <f>IF(E$66&gt;='Phase I - Summary'!$D$21,'Phase I - CF Hotel'!$G$6/'Phase I - Summary'!$D$22,0)</f>
        <v>0</v>
      </c>
      <c r="F78" s="324">
        <f>IF(F$66&gt;='Phase I - Summary'!$D$21,'Phase I - CF Hotel'!$G$6/'Phase I - Summary'!$D$22,0)</f>
        <v>0</v>
      </c>
      <c r="G78" s="324">
        <f>IF(G$66&gt;='Phase I - Summary'!$D$21,'Phase I - CF Hotel'!$G$6/'Phase I - Summary'!$D$22,0)</f>
        <v>0</v>
      </c>
      <c r="H78" s="324">
        <f>IF(H$66&gt;='Phase I - Summary'!$D$21,'Phase I - CF Hotel'!$G$6/'Phase I - Summary'!$D$22,0)</f>
        <v>0</v>
      </c>
      <c r="I78" s="324">
        <f>IF(I$66&gt;='Phase I - Summary'!$D$21,'Phase I - CF Hotel'!$G$6/'Phase I - Summary'!$D$22,0)</f>
        <v>0</v>
      </c>
      <c r="J78" s="324">
        <f>ROUNDDOWN(IF(J$66&lt;'Phase II - Summary'!$D$23,'Phase II - CF Hotel'!$G$12/'Phase II - Summary'!$D$22,0),0)</f>
        <v>45908</v>
      </c>
      <c r="K78" s="324">
        <f>ROUNDDOWN(IF(K$66&lt;'Phase II - Summary'!$D$23,'Phase II - CF Hotel'!$G$12/'Phase II - Summary'!$D$22,0),0)</f>
        <v>45908</v>
      </c>
      <c r="L78" s="324">
        <f>ROUNDDOWN(IF(L$66&lt;'Phase II - Summary'!$D$23,'Phase II - CF Hotel'!$G$12/'Phase II - Summary'!$D$22,0),0)</f>
        <v>45908</v>
      </c>
      <c r="M78" s="324">
        <f>ROUNDDOWN(IF(M$66&lt;'Phase II - Summary'!$D$23,'Phase II - CF Hotel'!$G$12/'Phase II - Summary'!$D$22,0),0)</f>
        <v>0</v>
      </c>
      <c r="N78" s="324">
        <f>ROUNDDOWN(IF(N$66&lt;'Phase II - Summary'!$D$23,'Phase II - CF Hotel'!$G$12/'Phase II - Summary'!$D$22,0),0)</f>
        <v>0</v>
      </c>
      <c r="O78" s="324">
        <f>ROUNDDOWN(IF(O$66&lt;'Phase II - Summary'!$D$23,'Phase II - CF Hotel'!$G$12/'Phase II - Summary'!$D$22,0),0)</f>
        <v>0</v>
      </c>
      <c r="P78" s="324">
        <f>ROUNDDOWN(IF(P$66&lt;'Phase II - Summary'!$D$23,'Phase II - CF Hotel'!$G$12/'Phase II - Summary'!$D$22,0),0)</f>
        <v>0</v>
      </c>
    </row>
    <row r="79" spans="2:16" ht="13.2">
      <c r="B79" s="736" t="s">
        <v>25</v>
      </c>
      <c r="C79" s="736"/>
      <c r="D79" s="250" t="s">
        <v>15</v>
      </c>
      <c r="E79" s="324">
        <f>IF(E$66&gt;='Phase I - Summary'!$D$21,'Phase I - CF Retail'!$G$12/'Phase I - Summary'!$D$22,0)</f>
        <v>0</v>
      </c>
      <c r="F79" s="324">
        <f>IF(F$66&gt;='Phase I - Summary'!$D$21,'Phase I - CF Retail'!$G$12/'Phase I - Summary'!$D$22,0)</f>
        <v>0</v>
      </c>
      <c r="G79" s="324">
        <f>IF(G$66&gt;='Phase I - Summary'!$D$21,'Phase I - CF Retail'!$G$12/'Phase I - Summary'!$D$22,0)</f>
        <v>52804.666666666664</v>
      </c>
      <c r="H79" s="324">
        <f>IF(H$66&gt;='Phase I - Summary'!$D$21,'Phase I - CF Retail'!$G$12/'Phase I - Summary'!$D$22,0)</f>
        <v>52804.666666666664</v>
      </c>
      <c r="I79" s="324">
        <f>IF(I$66&gt;='Phase I - Summary'!$D$21,'Phase I - CF Retail'!$G$12/'Phase I - Summary'!$D$22,0)</f>
        <v>52804.666666666664</v>
      </c>
      <c r="J79" s="324">
        <f>ROUNDDOWN(IF(J$66&lt;'Phase II - Summary'!$D$23,'Phase II - CF Retail'!$G$12/'Phase II - Summary'!$D$22,0),0)</f>
        <v>69699</v>
      </c>
      <c r="K79" s="324">
        <f>ROUNDDOWN(IF(K$66&lt;'Phase II - Summary'!$D$23,'Phase II - CF Retail'!$G$12/'Phase II - Summary'!$D$22,0),0)</f>
        <v>69699</v>
      </c>
      <c r="L79" s="324">
        <f>ROUNDDOWN(IF(L$66&lt;'Phase II - Summary'!$D$23,'Phase II - CF Retail'!$G$12/'Phase II - Summary'!$D$22,0),0)</f>
        <v>69699</v>
      </c>
      <c r="M79" s="324">
        <f>ROUNDDOWN(IF(M$66&lt;'Phase II - Summary'!$D$23,'Phase II - CF Retail'!$G$12/'Phase II - Summary'!$D$22,0),0)</f>
        <v>0</v>
      </c>
      <c r="N79" s="324">
        <f>ROUNDDOWN(IF(N$66&lt;'Phase II - Summary'!$D$23,'Phase II - CF Retail'!$G$12/'Phase II - Summary'!$D$22,0),0)</f>
        <v>0</v>
      </c>
      <c r="O79" s="324">
        <f>ROUNDDOWN(IF(O$66&lt;'Phase II - Summary'!$D$23,'Phase II - CF Retail'!$G$12/'Phase II - Summary'!$D$22,0),0)</f>
        <v>0</v>
      </c>
      <c r="P79" s="324">
        <f>ROUNDDOWN(IF(P$66&lt;'Phase II - Summary'!$D$23,'Phase II - CF Retail'!$G$12/'Phase II - Summary'!$D$22,0),0)</f>
        <v>0</v>
      </c>
    </row>
    <row r="80" spans="2:16" s="251" customFormat="1" ht="13.2">
      <c r="B80" s="740" t="s">
        <v>27</v>
      </c>
      <c r="C80" s="740"/>
      <c r="D80" s="375" t="s">
        <v>15</v>
      </c>
      <c r="E80" s="324">
        <v>0</v>
      </c>
      <c r="F80" s="394">
        <v>0</v>
      </c>
      <c r="G80" s="395">
        <f>'Infrastructure Budget'!$D$33/'Phase I - Summary'!$D$22</f>
        <v>78</v>
      </c>
      <c r="H80" s="396">
        <f>'Infrastructure Budget'!$D$33/'Phase I - Summary'!$D$22</f>
        <v>78</v>
      </c>
      <c r="I80" s="396">
        <f>'Infrastructure Budget'!$D$33/'Phase I - Summary'!$D$22</f>
        <v>78</v>
      </c>
      <c r="J80" s="396">
        <f>'Infrastructure Budget'!$E$33/'Phase II - Summary'!$D$22</f>
        <v>84.405642222222212</v>
      </c>
      <c r="K80" s="396">
        <f>'Infrastructure Budget'!$E$33/'Phase II - Summary'!$D$22</f>
        <v>84.405642222222212</v>
      </c>
      <c r="L80" s="396">
        <f>'Infrastructure Budget'!$E$33/'Phase II - Summary'!$D$22</f>
        <v>84.405642222222212</v>
      </c>
      <c r="M80" s="395">
        <v>0</v>
      </c>
      <c r="N80" s="395">
        <v>0</v>
      </c>
      <c r="O80" s="395">
        <v>0</v>
      </c>
      <c r="P80" s="395">
        <v>0</v>
      </c>
    </row>
    <row r="81" spans="2:16" ht="13.2">
      <c r="B81" s="759" t="s">
        <v>16</v>
      </c>
      <c r="C81" s="759"/>
      <c r="D81" s="404" t="s">
        <v>15</v>
      </c>
      <c r="E81" s="405">
        <f t="shared" ref="E81:P81" si="10">SUM(E75:E80)</f>
        <v>0</v>
      </c>
      <c r="F81" s="405">
        <f t="shared" si="10"/>
        <v>0</v>
      </c>
      <c r="G81" s="405">
        <f t="shared" si="10"/>
        <v>331139.31666666665</v>
      </c>
      <c r="H81" s="405">
        <f t="shared" si="10"/>
        <v>331139.31666666665</v>
      </c>
      <c r="I81" s="405">
        <f t="shared" si="10"/>
        <v>331139.31666666665</v>
      </c>
      <c r="J81" s="405">
        <f t="shared" si="10"/>
        <v>523119.40564222221</v>
      </c>
      <c r="K81" s="405">
        <f t="shared" si="10"/>
        <v>523119.40564222221</v>
      </c>
      <c r="L81" s="405">
        <f t="shared" si="10"/>
        <v>523119.40564222221</v>
      </c>
      <c r="M81" s="405">
        <f t="shared" si="10"/>
        <v>0</v>
      </c>
      <c r="N81" s="405">
        <f t="shared" si="10"/>
        <v>0</v>
      </c>
      <c r="O81" s="405">
        <f t="shared" si="10"/>
        <v>0</v>
      </c>
      <c r="P81" s="405">
        <f t="shared" si="10"/>
        <v>0</v>
      </c>
    </row>
    <row r="82" spans="2:16" ht="13.2"/>
    <row r="83" spans="2:16" s="257" customFormat="1" ht="13.2">
      <c r="B83" s="760" t="s">
        <v>30</v>
      </c>
      <c r="C83" s="760"/>
      <c r="D83" s="760"/>
      <c r="E83" s="745"/>
      <c r="F83" s="745"/>
      <c r="G83" s="745"/>
      <c r="H83" s="745"/>
      <c r="J83" s="744" t="s">
        <v>31</v>
      </c>
      <c r="K83" s="745"/>
      <c r="L83" s="745"/>
      <c r="M83" s="745"/>
      <c r="N83" s="745"/>
      <c r="O83" s="745"/>
      <c r="P83" s="745"/>
    </row>
    <row r="84" spans="2:16" s="287" customFormat="1" ht="13.2">
      <c r="B84" s="286"/>
      <c r="C84" s="286"/>
      <c r="D84" s="286"/>
      <c r="E84" s="284"/>
      <c r="F84" s="284"/>
      <c r="G84" s="284"/>
      <c r="H84" s="284"/>
      <c r="J84" s="283"/>
      <c r="K84" s="284"/>
      <c r="L84" s="284"/>
      <c r="M84" s="284"/>
      <c r="N84" s="284"/>
      <c r="O84" s="284"/>
      <c r="P84" s="284"/>
    </row>
    <row r="85" spans="2:16" s="269" customFormat="1" ht="13.8" thickBot="1">
      <c r="B85" s="758" t="s">
        <v>2</v>
      </c>
      <c r="C85" s="758"/>
      <c r="D85" s="332"/>
      <c r="E85" s="333"/>
      <c r="F85" s="334" t="s">
        <v>695</v>
      </c>
      <c r="G85" s="334" t="s">
        <v>694</v>
      </c>
      <c r="H85" s="334" t="s">
        <v>696</v>
      </c>
      <c r="J85" s="730" t="s">
        <v>33</v>
      </c>
      <c r="K85" s="731"/>
      <c r="L85" s="731"/>
      <c r="M85" s="743" t="s">
        <v>32</v>
      </c>
      <c r="N85" s="743"/>
      <c r="O85" s="743" t="s">
        <v>19</v>
      </c>
      <c r="P85" s="743"/>
    </row>
    <row r="86" spans="2:16" ht="13.8" thickTop="1">
      <c r="B86" s="257"/>
      <c r="C86" s="265" t="s">
        <v>687</v>
      </c>
      <c r="D86" s="272"/>
      <c r="E86" s="323"/>
      <c r="F86" s="328">
        <f>('Area Matrix'!$D34/'Phase I - CF MF Market Rental'!$G$12+'Area Matrix'!$D57/'Phase II - CF MF Market Rental'!$G$12)/2</f>
        <v>208037.33262108261</v>
      </c>
      <c r="G86" s="328">
        <f ca="1">(SUM('Area Matrix'!$D34,'Area Matrix'!$H34,'Area Matrix'!$L34,'Area Matrix'!$P34,'Area Matrix'!$T34)/'Phase I - CF MF Market Rental'!$G$12+SUM('Area Matrix'!$D57,'Area Matrix'!$H57,'Area Matrix'!$L57,'Area Matrix'!$P57,'Area Matrix'!$T57)/'Phase II - CF MF Market Rental'!$G$12)/2</f>
        <v>396565.39153815451</v>
      </c>
      <c r="H86" s="331">
        <f ca="1">(SUM('Area Matrix'!$D34,'Area Matrix'!$H34,'Area Matrix'!$P34,'Area Matrix'!$T34)+SUM('Area Matrix'!$D57,'Area Matrix'!$H57,'Area Matrix'!$P57,'Area Matrix'!$T57))</f>
        <v>245898506.17259684</v>
      </c>
      <c r="J86" s="258" t="s">
        <v>698</v>
      </c>
      <c r="M86" s="727">
        <f ca="1">SUM('Phase I - Summary'!H24,'Phase II - Summary'!H24)</f>
        <v>217869029.45698968</v>
      </c>
      <c r="N86" s="728"/>
      <c r="O86" s="729">
        <f ca="1">M86/$M$97</f>
        <v>0.215376596826272</v>
      </c>
      <c r="P86" s="729"/>
    </row>
    <row r="87" spans="2:16" ht="13.2">
      <c r="B87" s="257"/>
      <c r="C87" s="265" t="s">
        <v>674</v>
      </c>
      <c r="D87" s="272"/>
      <c r="E87" s="323"/>
      <c r="F87" s="328">
        <f>('Area Matrix'!$D35/'Phase I - CF Affordable Rental'!$G$12+'Area Matrix'!$D58/'Phase II - CF Affordable Rental'!$G$12)/2</f>
        <v>208838.77777777778</v>
      </c>
      <c r="G87" s="328">
        <f ca="1">(SUM('Area Matrix'!$D35,'Area Matrix'!H35,'Area Matrix'!L35,'Area Matrix'!P35,'Area Matrix'!T35)/'Phase I - CF Affordable Rental'!$G$12+SUM('Area Matrix'!$D58,'Area Matrix'!H58,'Area Matrix'!L58,'Area Matrix'!P58,'Area Matrix'!T58)/'Phase II - CF Affordable Rental'!$G$12)/2</f>
        <v>398125.61471098225</v>
      </c>
      <c r="H87" s="331">
        <f ca="1">(SUM('Area Matrix'!$D35,'Area Matrix'!$H35,'Area Matrix'!$P35,'Area Matrix'!$T35)+SUM('Area Matrix'!$D58,'Area Matrix'!$H58,'Area Matrix'!$P58,'Area Matrix'!$T58))</f>
        <v>105385074.07397008</v>
      </c>
      <c r="J87" s="725" t="s">
        <v>699</v>
      </c>
      <c r="K87" s="726"/>
      <c r="L87" s="726"/>
      <c r="M87" s="727">
        <f ca="1">'Phase I - Summary'!H25</f>
        <v>55528895.184312232</v>
      </c>
      <c r="N87" s="728"/>
      <c r="O87" s="729">
        <f ca="1">M87/$M$97</f>
        <v>5.4893641836693111E-2</v>
      </c>
      <c r="P87" s="729"/>
    </row>
    <row r="88" spans="2:16" ht="13.2">
      <c r="B88" s="736" t="s">
        <v>24</v>
      </c>
      <c r="C88" s="736"/>
      <c r="D88" s="272"/>
      <c r="E88" s="323"/>
      <c r="F88" s="329">
        <f>('Area Matrix'!$D36/'Phase I - CF Commercial'!$G$12+'Area Matrix'!$D59/'Phase II - CF Commercial'!$G$12)/2</f>
        <v>186.85000000000002</v>
      </c>
      <c r="G88" s="329">
        <f ca="1">(SUM('Area Matrix'!$D36,'Area Matrix'!H36,'Area Matrix'!L36,'Area Matrix'!P36,'Area Matrix'!T36)/'Phase I - CF Commercial'!$G$12+SUM('Area Matrix'!$D59,'Area Matrix'!H59,'Area Matrix'!L59,'Area Matrix'!P59,'Area Matrix'!T59)/'Phase II - CF Commercial'!$G$12)/2</f>
        <v>349.56285180977625</v>
      </c>
      <c r="H88" s="331">
        <f ca="1">(SUM('Area Matrix'!$D36,'Area Matrix'!$H36,'Area Matrix'!$P36,'Area Matrix'!$T36)+SUM('Area Matrix'!$D59,'Area Matrix'!$H59,'Area Matrix'!$P59,'Area Matrix'!$T59))</f>
        <v>308650568.54564393</v>
      </c>
      <c r="J88" s="384" t="s">
        <v>652</v>
      </c>
      <c r="K88" s="384"/>
      <c r="L88" s="384"/>
      <c r="M88" s="727">
        <f ca="1">SUM('Phase I - Summary'!H26,'Phase II - Summary'!H25)</f>
        <v>41346872.972602904</v>
      </c>
      <c r="N88" s="727"/>
      <c r="O88" s="729">
        <f ca="1">M88/$M$97</f>
        <v>4.0873862670808732E-2</v>
      </c>
      <c r="P88" s="729"/>
    </row>
    <row r="89" spans="2:16" ht="13.2">
      <c r="B89" s="736" t="s">
        <v>26</v>
      </c>
      <c r="C89" s="736"/>
      <c r="D89" s="272"/>
      <c r="E89" s="323"/>
      <c r="F89" s="330">
        <f>(IFERROR('Area Matrix'!$D38/'Phase I - CF Hotel'!$G$9,0)+'Area Matrix'!$D61/'Phase II - CF Hotel'!$G$15)/2</f>
        <v>42143.85</v>
      </c>
      <c r="G89" s="330">
        <f ca="1">(IFERROR(SUM('Area Matrix'!$D38,'Area Matrix'!$H38,'Area Matrix'!$L38,'Area Matrix'!$P38,'Area Matrix'!$T38)/'Phase I - CF Hotel'!$G$9,0)+SUM('Area Matrix'!$D61,'Area Matrix'!$H61,'Area Matrix'!$L61,'Area Matrix'!$P61,'Area Matrix'!$T61)/'Phase II - CF Hotel'!$G$15)/2</f>
        <v>89025.633737080847</v>
      </c>
      <c r="H89" s="331">
        <f ca="1">(IFERROR(SUM('Area Matrix'!$D38,'Area Matrix'!$H38,'Area Matrix'!$P38,'Area Matrix'!$T38),0)+SUM('Area Matrix'!$D61,'Area Matrix'!$H61,'Area Matrix'!$P61,'Area Matrix'!$T61))</f>
        <v>40356791.335879505</v>
      </c>
    </row>
    <row r="90" spans="2:16" ht="13.8" thickBot="1">
      <c r="B90" s="736" t="s">
        <v>44</v>
      </c>
      <c r="C90" s="736"/>
      <c r="D90" s="272"/>
      <c r="E90" s="323"/>
      <c r="F90" s="329">
        <f>('Area Matrix'!$D37/'Phase I - CF Retail'!$G$12+'Area Matrix'!$D60/'Phase II - CF Retail'!$G$12)/2</f>
        <v>166.65</v>
      </c>
      <c r="G90" s="329">
        <f ca="1">(SUM('Area Matrix'!$D37,'Area Matrix'!$H37,'Area Matrix'!$L37,'Area Matrix'!$P37,'Area Matrix'!$T37)/'Phase I - CF Retail'!$G$12+SUM('Area Matrix'!$D60,'Area Matrix'!$H60,'Area Matrix'!$L60,'Area Matrix'!$P60,'Area Matrix'!$T60)/'Phase II - CF Retail'!$G$12)/2</f>
        <v>324.31285180977625</v>
      </c>
      <c r="H90" s="331">
        <f ca="1">(SUM('Area Matrix'!$D37,'Area Matrix'!$H37,'Area Matrix'!$P37,'Area Matrix'!$T37)+SUM('Area Matrix'!$D60,'Area Matrix'!$H60,'Area Matrix'!$P60,'Area Matrix'!$T60))</f>
        <v>101166787.64860703</v>
      </c>
      <c r="J90" s="742" t="s">
        <v>34</v>
      </c>
      <c r="K90" s="731"/>
      <c r="L90" s="731"/>
      <c r="M90" s="733"/>
      <c r="N90" s="733"/>
      <c r="O90" s="733"/>
      <c r="P90" s="733"/>
    </row>
    <row r="91" spans="2:16" s="251" customFormat="1" ht="13.8" thickTop="1">
      <c r="B91" s="740" t="s">
        <v>27</v>
      </c>
      <c r="C91" s="740"/>
      <c r="D91" s="322"/>
      <c r="E91" s="376" t="s">
        <v>17</v>
      </c>
      <c r="F91" s="331">
        <f>'Infrastructure Budget'!$C$33</f>
        <v>10000</v>
      </c>
      <c r="G91" s="331">
        <f>'Infrastructure Budget'!$C$33</f>
        <v>10000</v>
      </c>
      <c r="H91" s="331">
        <f>SUM('Infrastructure Budget'!I33)</f>
        <v>4872169.2666666666</v>
      </c>
      <c r="I91" s="401"/>
      <c r="J91" s="554" t="s">
        <v>424</v>
      </c>
      <c r="K91" s="554"/>
      <c r="L91" s="554"/>
      <c r="M91" s="741">
        <f ca="1">SUM('Phase I - Summary'!H29,'Phase II - Summary'!H28)</f>
        <v>639388924.59006834</v>
      </c>
      <c r="N91" s="741"/>
      <c r="O91" s="734">
        <f ca="1">M91/$M$97</f>
        <v>0.63207428320510561</v>
      </c>
      <c r="P91" s="734"/>
    </row>
    <row r="92" spans="2:16" ht="13.2">
      <c r="B92" s="322"/>
      <c r="C92" s="322"/>
      <c r="D92" s="322"/>
      <c r="E92" s="323"/>
      <c r="F92" s="251"/>
      <c r="G92" s="323"/>
      <c r="H92" s="323"/>
    </row>
    <row r="93" spans="2:16" s="251" customFormat="1" ht="13.8" thickBot="1">
      <c r="B93" s="259" t="s">
        <v>9</v>
      </c>
      <c r="C93" s="259"/>
      <c r="D93" s="259"/>
      <c r="E93" s="754" t="s">
        <v>37</v>
      </c>
      <c r="F93" s="754"/>
      <c r="G93" s="750" t="s">
        <v>39</v>
      </c>
      <c r="H93" s="750"/>
      <c r="J93" s="555" t="s">
        <v>697</v>
      </c>
      <c r="K93" s="556"/>
      <c r="L93" s="556"/>
      <c r="M93" s="557"/>
      <c r="N93" s="557"/>
      <c r="O93" s="557"/>
      <c r="P93" s="557"/>
    </row>
    <row r="94" spans="2:16" ht="13.8" thickTop="1">
      <c r="C94" s="322" t="s">
        <v>757</v>
      </c>
      <c r="D94" s="322"/>
      <c r="E94" s="732">
        <v>0</v>
      </c>
      <c r="F94" s="746"/>
      <c r="G94" s="732">
        <f>'Infrastructure Budget'!I21</f>
        <v>577850</v>
      </c>
      <c r="H94" s="746"/>
      <c r="J94" s="397" t="s">
        <v>705</v>
      </c>
      <c r="K94" s="397"/>
      <c r="L94" s="397"/>
      <c r="M94" s="748">
        <f ca="1">SUM(Taxes!N56,Taxes!AD56)</f>
        <v>34438717.269235387</v>
      </c>
      <c r="N94" s="748"/>
      <c r="O94" s="734">
        <f ca="1">M94/$M$97</f>
        <v>3.4044736615372662E-2</v>
      </c>
      <c r="P94" s="734"/>
    </row>
    <row r="95" spans="2:16" ht="13.2">
      <c r="C95" s="322" t="s">
        <v>36</v>
      </c>
      <c r="D95" s="322"/>
      <c r="E95" s="732">
        <f>'Infrastructure Budget'!I27</f>
        <v>1333500</v>
      </c>
      <c r="F95" s="746"/>
      <c r="G95" s="732">
        <v>0</v>
      </c>
      <c r="H95" s="746"/>
      <c r="J95" s="258" t="s">
        <v>730</v>
      </c>
      <c r="M95" s="732">
        <f>SUM('Phase I - Summary'!H28,'Phase II - Summary'!H27)</f>
        <v>23000000</v>
      </c>
      <c r="N95" s="732"/>
      <c r="O95" s="747">
        <f ca="1">M95/$M$97</f>
        <v>2.2736878845747908E-2</v>
      </c>
      <c r="P95" s="747"/>
    </row>
    <row r="96" spans="2:16" ht="13.8" thickBot="1">
      <c r="C96" s="322" t="s">
        <v>759</v>
      </c>
      <c r="D96" s="400"/>
      <c r="E96" s="732">
        <v>0</v>
      </c>
      <c r="F96" s="746"/>
      <c r="G96" s="732">
        <f>'Infrastructure Budget'!I23</f>
        <v>2400000</v>
      </c>
      <c r="H96" s="746"/>
    </row>
    <row r="97" spans="2:18" ht="13.8" thickBot="1">
      <c r="C97" s="322" t="s">
        <v>758</v>
      </c>
      <c r="D97" s="322"/>
      <c r="E97" s="732">
        <f>SUM('Infrastructure Budget'!I13:I19)</f>
        <v>9033360</v>
      </c>
      <c r="F97" s="746"/>
      <c r="G97" s="732">
        <v>0</v>
      </c>
      <c r="H97" s="746"/>
      <c r="J97" s="764" t="s">
        <v>458</v>
      </c>
      <c r="K97" s="765"/>
      <c r="L97" s="765"/>
      <c r="M97" s="763">
        <f ca="1">SUM(M86:N96)</f>
        <v>1011572439.4732085</v>
      </c>
      <c r="N97" s="763"/>
      <c r="O97" s="761">
        <f ca="1">SUM(O86:P96)</f>
        <v>1</v>
      </c>
      <c r="P97" s="762"/>
      <c r="Q97" s="258" t="s">
        <v>701</v>
      </c>
      <c r="R97" s="409">
        <f ca="1">M97-E104</f>
        <v>0</v>
      </c>
    </row>
    <row r="98" spans="2:18" ht="13.2">
      <c r="B98" s="259"/>
      <c r="C98" s="322" t="s">
        <v>49</v>
      </c>
      <c r="D98" s="251"/>
      <c r="E98" s="732">
        <v>0</v>
      </c>
      <c r="F98" s="746"/>
      <c r="G98" s="732">
        <f>'Infrastructure Budget'!I25</f>
        <v>1895554</v>
      </c>
      <c r="H98" s="732"/>
      <c r="M98" s="749"/>
      <c r="N98" s="749"/>
      <c r="O98" s="749"/>
      <c r="P98" s="749"/>
    </row>
    <row r="99" spans="2:18" ht="13.2">
      <c r="B99" s="259"/>
      <c r="C99" s="322" t="s">
        <v>745</v>
      </c>
      <c r="D99" s="322"/>
      <c r="E99" s="732">
        <v>0</v>
      </c>
      <c r="F99" s="746"/>
      <c r="G99" s="732">
        <f>'Infrastructure Budget'!I30</f>
        <v>13903990.924869999</v>
      </c>
      <c r="H99" s="746"/>
      <c r="J99" s="736"/>
      <c r="K99" s="737"/>
      <c r="L99" s="737"/>
      <c r="M99" s="736"/>
      <c r="N99" s="736"/>
      <c r="O99" s="736"/>
      <c r="P99" s="736"/>
    </row>
    <row r="100" spans="2:18" ht="13.2">
      <c r="B100" s="259"/>
      <c r="C100" s="552" t="s">
        <v>866</v>
      </c>
      <c r="D100" s="591">
        <f>'Infrastructure Budget'!C35</f>
        <v>0.1</v>
      </c>
      <c r="E100" s="732">
        <f>'Infrastructure Budget'!I35</f>
        <v>3401642.4191536666</v>
      </c>
      <c r="F100" s="732"/>
      <c r="G100" s="732"/>
      <c r="H100" s="732"/>
      <c r="J100" s="551"/>
      <c r="K100" s="554"/>
      <c r="L100" s="554"/>
      <c r="M100" s="551"/>
      <c r="N100" s="551"/>
      <c r="O100" s="551"/>
      <c r="P100" s="551"/>
    </row>
    <row r="101" spans="2:18" ht="13.2">
      <c r="B101" s="259"/>
      <c r="C101" s="552"/>
      <c r="D101" s="591"/>
      <c r="E101" s="553"/>
      <c r="F101" s="553"/>
      <c r="G101" s="553"/>
      <c r="H101" s="553"/>
      <c r="J101" s="551"/>
      <c r="K101" s="554"/>
      <c r="L101" s="554"/>
      <c r="M101" s="551"/>
      <c r="N101" s="551"/>
      <c r="O101" s="551"/>
      <c r="P101" s="551"/>
    </row>
    <row r="102" spans="2:18" ht="13.2">
      <c r="B102" s="259"/>
      <c r="C102" s="267" t="s">
        <v>52</v>
      </c>
      <c r="D102" s="279"/>
      <c r="E102" s="732">
        <f>E45+'Phase I - Summary'!H18+'Phase II - Summary'!H18</f>
        <v>172696645.0858207</v>
      </c>
      <c r="F102" s="732"/>
      <c r="G102" s="732"/>
      <c r="H102" s="732"/>
      <c r="J102" s="736"/>
      <c r="K102" s="737"/>
      <c r="L102" s="737"/>
      <c r="M102" s="736"/>
      <c r="N102" s="736"/>
      <c r="O102" s="736"/>
      <c r="P102" s="736"/>
    </row>
    <row r="103" spans="2:18" ht="13.8" thickBot="1">
      <c r="C103" s="377" t="s">
        <v>18</v>
      </c>
      <c r="D103" s="377"/>
      <c r="E103" s="735">
        <f>SUM(G93:H99)</f>
        <v>18777394.924869999</v>
      </c>
      <c r="F103" s="735"/>
      <c r="G103" s="735"/>
      <c r="H103" s="735"/>
    </row>
    <row r="104" spans="2:18" ht="13.8" thickBot="1">
      <c r="C104" s="407" t="s">
        <v>3</v>
      </c>
      <c r="D104" s="408"/>
      <c r="E104" s="738">
        <f ca="1">SUM(H86:H91,E94:H102)</f>
        <v>1011572439.4732084</v>
      </c>
      <c r="F104" s="738"/>
      <c r="G104" s="738"/>
      <c r="H104" s="739"/>
    </row>
    <row r="105" spans="2:18" ht="13.2">
      <c r="E105" s="270"/>
      <c r="F105" s="251"/>
    </row>
    <row r="106" spans="2:18" ht="13.2">
      <c r="E106" s="270"/>
      <c r="F106" s="251"/>
    </row>
  </sheetData>
  <mergeCells count="86">
    <mergeCell ref="O97:P97"/>
    <mergeCell ref="M98:N98"/>
    <mergeCell ref="M97:N97"/>
    <mergeCell ref="J97:L97"/>
    <mergeCell ref="E100:H100"/>
    <mergeCell ref="B89:C89"/>
    <mergeCell ref="B34:C34"/>
    <mergeCell ref="B36:C36"/>
    <mergeCell ref="O88:P88"/>
    <mergeCell ref="B18:C18"/>
    <mergeCell ref="B21:C21"/>
    <mergeCell ref="B88:C88"/>
    <mergeCell ref="B85:C85"/>
    <mergeCell ref="B81:C81"/>
    <mergeCell ref="B83:H83"/>
    <mergeCell ref="B78:C78"/>
    <mergeCell ref="B80:C80"/>
    <mergeCell ref="B35:C35"/>
    <mergeCell ref="B44:C44"/>
    <mergeCell ref="B39:C39"/>
    <mergeCell ref="B20:C20"/>
    <mergeCell ref="B22:C22"/>
    <mergeCell ref="B26:C26"/>
    <mergeCell ref="B25:C25"/>
    <mergeCell ref="B48:C48"/>
    <mergeCell ref="E12:E13"/>
    <mergeCell ref="F12:F13"/>
    <mergeCell ref="G94:H94"/>
    <mergeCell ref="B64:P64"/>
    <mergeCell ref="B51:C51"/>
    <mergeCell ref="B53:C53"/>
    <mergeCell ref="B54:C54"/>
    <mergeCell ref="B71:C71"/>
    <mergeCell ref="B70:C70"/>
    <mergeCell ref="B72:C72"/>
    <mergeCell ref="B46:C46"/>
    <mergeCell ref="N67:O67"/>
    <mergeCell ref="O94:P94"/>
    <mergeCell ref="B19:C19"/>
    <mergeCell ref="E93:F93"/>
    <mergeCell ref="B91:C91"/>
    <mergeCell ref="P12:P13"/>
    <mergeCell ref="E95:F95"/>
    <mergeCell ref="G93:H93"/>
    <mergeCell ref="G98:H98"/>
    <mergeCell ref="G97:H97"/>
    <mergeCell ref="G95:H95"/>
    <mergeCell ref="E94:F94"/>
    <mergeCell ref="E98:F98"/>
    <mergeCell ref="E96:F96"/>
    <mergeCell ref="G96:H96"/>
    <mergeCell ref="E97:F97"/>
    <mergeCell ref="E104:H104"/>
    <mergeCell ref="B40:C40"/>
    <mergeCell ref="M88:N88"/>
    <mergeCell ref="M91:N91"/>
    <mergeCell ref="B77:C77"/>
    <mergeCell ref="B79:C79"/>
    <mergeCell ref="B90:C90"/>
    <mergeCell ref="J90:L90"/>
    <mergeCell ref="M85:N85"/>
    <mergeCell ref="J83:P83"/>
    <mergeCell ref="O85:P85"/>
    <mergeCell ref="G99:H99"/>
    <mergeCell ref="E99:F99"/>
    <mergeCell ref="O95:P95"/>
    <mergeCell ref="M94:N94"/>
    <mergeCell ref="O98:P98"/>
    <mergeCell ref="E103:H103"/>
    <mergeCell ref="O102:P102"/>
    <mergeCell ref="E102:H102"/>
    <mergeCell ref="J99:L99"/>
    <mergeCell ref="M99:N99"/>
    <mergeCell ref="J102:L102"/>
    <mergeCell ref="M102:N102"/>
    <mergeCell ref="O99:P99"/>
    <mergeCell ref="J87:L87"/>
    <mergeCell ref="M87:N87"/>
    <mergeCell ref="O87:P87"/>
    <mergeCell ref="J85:L85"/>
    <mergeCell ref="M95:N95"/>
    <mergeCell ref="M90:N90"/>
    <mergeCell ref="O90:P90"/>
    <mergeCell ref="M86:N86"/>
    <mergeCell ref="O86:P86"/>
    <mergeCell ref="O91:P91"/>
  </mergeCells>
  <printOptions horizontalCentered="1"/>
  <pageMargins left="0.7" right="0.7" top="0.75" bottom="0.75" header="0.3" footer="0.3"/>
  <pageSetup paperSize="3" scale="52" fitToWidth="0" orientation="landscape" r:id="rId1"/>
  <headerFooter>
    <oddHeader xml:space="preserve">&amp;L2019 ULI Hines Student Competition&amp;R2019-331 &amp;A </oddHeader>
  </headerFooter>
  <rowBreaks count="1" manualBreakCount="1">
    <brk id="63" min="1" max="1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45FAB-C69C-4974-802F-18C538A3A020}">
  <sheetPr>
    <tabColor rgb="FF002060"/>
    <pageSetUpPr fitToPage="1"/>
  </sheetPr>
  <dimension ref="A1:M51"/>
  <sheetViews>
    <sheetView showGridLines="0" view="pageBreakPreview" topLeftCell="A14" zoomScale="80" zoomScaleNormal="100" zoomScaleSheetLayoutView="80" workbookViewId="0"/>
  </sheetViews>
  <sheetFormatPr defaultRowHeight="13.2"/>
  <cols>
    <col min="1" max="1" width="1.77734375" customWidth="1"/>
    <col min="2" max="2" width="14.6640625" bestFit="1" customWidth="1"/>
    <col min="3" max="3" width="16.109375" style="3" customWidth="1"/>
    <col min="4" max="4" width="11.44140625" bestFit="1" customWidth="1"/>
    <col min="5" max="5" width="6.44140625" customWidth="1"/>
    <col min="6" max="6" width="27.6640625" bestFit="1" customWidth="1"/>
    <col min="7" max="7" width="3.77734375" customWidth="1"/>
    <col min="8" max="8" width="16" style="3" bestFit="1" customWidth="1"/>
    <col min="9" max="9" width="16.5546875" bestFit="1" customWidth="1"/>
    <col min="10" max="10" width="14.44140625" style="3" bestFit="1" customWidth="1"/>
    <col min="11" max="11" width="14.33203125" bestFit="1" customWidth="1"/>
    <col min="12" max="12" width="15.5546875" bestFit="1" customWidth="1"/>
    <col min="13" max="13" width="14.33203125" bestFit="1" customWidth="1"/>
    <col min="14" max="14" width="15.5546875" bestFit="1" customWidth="1"/>
    <col min="15" max="15" width="14.21875" bestFit="1" customWidth="1"/>
  </cols>
  <sheetData>
    <row r="1" spans="1:10">
      <c r="A1" s="1"/>
    </row>
    <row r="2" spans="1:10">
      <c r="A2" s="1"/>
    </row>
    <row r="3" spans="1:10">
      <c r="A3" s="1"/>
    </row>
    <row r="4" spans="1:10">
      <c r="A4" s="1"/>
    </row>
    <row r="5" spans="1:10">
      <c r="A5" s="1"/>
    </row>
    <row r="6" spans="1:10">
      <c r="A6" s="1"/>
    </row>
    <row r="7" spans="1:10">
      <c r="A7" s="1"/>
    </row>
    <row r="8" spans="1:10">
      <c r="A8" s="1"/>
      <c r="B8" s="410" t="s">
        <v>762</v>
      </c>
    </row>
    <row r="9" spans="1:10">
      <c r="A9" s="1"/>
    </row>
    <row r="10" spans="1:10" ht="17.399999999999999">
      <c r="B10" s="182" t="s">
        <v>637</v>
      </c>
      <c r="C10" s="183"/>
      <c r="D10" s="184"/>
      <c r="E10" s="184"/>
      <c r="F10" s="184"/>
      <c r="G10" s="184"/>
      <c r="H10" s="183"/>
      <c r="I10" s="184"/>
      <c r="J10" s="183"/>
    </row>
    <row r="11" spans="1:10">
      <c r="B11" s="1"/>
    </row>
    <row r="12" spans="1:10" ht="14.4">
      <c r="B12" s="10" t="s">
        <v>456</v>
      </c>
      <c r="C12" s="11"/>
      <c r="D12" s="36" t="s">
        <v>442</v>
      </c>
      <c r="F12" s="10" t="s">
        <v>457</v>
      </c>
      <c r="G12" s="10"/>
      <c r="H12" s="48"/>
      <c r="I12" s="11"/>
      <c r="J12" s="48"/>
    </row>
    <row r="13" spans="1:10" ht="14.4">
      <c r="B13" t="s">
        <v>399</v>
      </c>
      <c r="D13" s="46">
        <f>Parcels!N96</f>
        <v>287620.40000000002</v>
      </c>
      <c r="F13" s="40" t="s">
        <v>449</v>
      </c>
      <c r="G13" s="40"/>
      <c r="H13" s="41" t="s">
        <v>32</v>
      </c>
      <c r="I13" s="41" t="s">
        <v>450</v>
      </c>
      <c r="J13" s="41" t="s">
        <v>451</v>
      </c>
    </row>
    <row r="14" spans="1:10">
      <c r="B14" t="s">
        <v>400</v>
      </c>
      <c r="D14" s="56" t="s">
        <v>789</v>
      </c>
      <c r="F14" t="s">
        <v>452</v>
      </c>
      <c r="H14" s="47">
        <f>Parcels!S96</f>
        <v>44629803</v>
      </c>
      <c r="I14" s="42">
        <f t="shared" ref="I14:I20" ca="1" si="0">H14/$H$21</f>
        <v>0.12306128764263663</v>
      </c>
      <c r="J14" s="43">
        <f t="shared" ref="J14:J17" si="1">H14/$D$16</f>
        <v>41.256887425422043</v>
      </c>
    </row>
    <row r="15" spans="1:10">
      <c r="B15" t="s">
        <v>401</v>
      </c>
      <c r="D15" s="562">
        <f>D16/D13</f>
        <v>3.7610475473923266</v>
      </c>
      <c r="F15" t="s">
        <v>395</v>
      </c>
      <c r="H15" s="47">
        <f>'Area Matrix'!D39</f>
        <v>191051540</v>
      </c>
      <c r="I15" s="42">
        <f t="shared" ca="1" si="0"/>
        <v>0.52680153032512145</v>
      </c>
      <c r="J15" s="43">
        <f t="shared" si="1"/>
        <v>176.6127418988051</v>
      </c>
    </row>
    <row r="16" spans="1:10">
      <c r="B16" t="s">
        <v>402</v>
      </c>
      <c r="D16" s="31">
        <f>'Building Source Data v02'!D33</f>
        <v>1081754</v>
      </c>
      <c r="F16" t="s">
        <v>410</v>
      </c>
      <c r="H16" s="47">
        <f>'Area Matrix'!H39</f>
        <v>47762885</v>
      </c>
      <c r="I16" s="42">
        <f t="shared" ca="1" si="0"/>
        <v>0.13170038258128036</v>
      </c>
      <c r="J16" s="43">
        <f t="shared" si="1"/>
        <v>44.153185474701274</v>
      </c>
    </row>
    <row r="17" spans="2:13">
      <c r="F17" s="1" t="s">
        <v>9</v>
      </c>
      <c r="G17" s="1"/>
      <c r="H17" s="47">
        <f>'Phase I - Pro Forma'!D21</f>
        <v>20766797.699999999</v>
      </c>
      <c r="I17" s="42">
        <f t="shared" ca="1" si="0"/>
        <v>5.7261934702605446E-2</v>
      </c>
      <c r="J17" s="43">
        <f t="shared" si="1"/>
        <v>19.197338489157424</v>
      </c>
    </row>
    <row r="18" spans="2:13" ht="14.4">
      <c r="F18" s="1" t="s">
        <v>867</v>
      </c>
      <c r="G18" s="561">
        <v>0.03</v>
      </c>
      <c r="H18" s="572">
        <f>G18*SUM(H14:H17)</f>
        <v>9126330.7709999997</v>
      </c>
      <c r="I18" s="42">
        <f t="shared" ca="1" si="0"/>
        <v>2.5164754057549317E-2</v>
      </c>
      <c r="J18" s="43">
        <f t="shared" ref="J18" si="2">H18/$D$16</f>
        <v>8.4366045986425746</v>
      </c>
      <c r="M18" s="32"/>
    </row>
    <row r="19" spans="2:13" ht="14.4">
      <c r="B19" s="10" t="s">
        <v>447</v>
      </c>
      <c r="C19" s="11"/>
      <c r="D19" s="11"/>
      <c r="F19" t="s">
        <v>426</v>
      </c>
      <c r="H19" s="185">
        <f ca="1">'Phase I - Pro Forma'!D60</f>
        <v>2175979.3281020699</v>
      </c>
      <c r="I19" s="42">
        <f t="shared" ca="1" si="0"/>
        <v>6.0000000000000001E-3</v>
      </c>
      <c r="J19" s="43">
        <f ca="1">H19/$D$16</f>
        <v>2.011528802391366</v>
      </c>
      <c r="M19" s="32"/>
    </row>
    <row r="20" spans="2:13" ht="14.4">
      <c r="B20" s="1" t="s">
        <v>392</v>
      </c>
      <c r="D20" s="563">
        <v>2020</v>
      </c>
      <c r="F20" t="s">
        <v>398</v>
      </c>
      <c r="H20" s="185">
        <f ca="1">'Phase I - Pro Forma'!D62</f>
        <v>47149885.551242873</v>
      </c>
      <c r="I20" s="42">
        <f t="shared" ca="1" si="0"/>
        <v>0.13001011069080667</v>
      </c>
      <c r="J20" s="43">
        <f ca="1">H20/$D$16</f>
        <v>43.586513709441213</v>
      </c>
      <c r="M20" s="33"/>
    </row>
    <row r="21" spans="2:13" ht="14.4">
      <c r="B21" s="1" t="s">
        <v>448</v>
      </c>
      <c r="C21"/>
      <c r="D21" s="563">
        <v>2022</v>
      </c>
      <c r="F21" s="8" t="s">
        <v>453</v>
      </c>
      <c r="G21" s="8"/>
      <c r="H21" s="44">
        <f ca="1">SUM(H14:H20)</f>
        <v>362663221.35034496</v>
      </c>
      <c r="I21" s="237">
        <f ca="1">SUM(I14:I20)</f>
        <v>1</v>
      </c>
      <c r="J21" s="45"/>
      <c r="M21" s="34"/>
    </row>
    <row r="22" spans="2:13" ht="14.4">
      <c r="B22" s="1" t="s">
        <v>632</v>
      </c>
      <c r="C22"/>
      <c r="D22" s="564">
        <v>3</v>
      </c>
      <c r="M22" s="35"/>
    </row>
    <row r="23" spans="2:13" ht="14.4">
      <c r="B23" t="s">
        <v>403</v>
      </c>
      <c r="C23"/>
      <c r="D23" s="180">
        <f>SUM(D21:D22)</f>
        <v>2025</v>
      </c>
      <c r="F23" s="10" t="s">
        <v>454</v>
      </c>
      <c r="G23" s="10"/>
      <c r="H23" s="48"/>
      <c r="I23" s="11"/>
      <c r="J23" s="48"/>
      <c r="L23" s="571"/>
      <c r="M23" s="35"/>
    </row>
    <row r="24" spans="2:13" ht="14.4">
      <c r="B24" s="1" t="s">
        <v>436</v>
      </c>
      <c r="C24"/>
      <c r="D24" s="180">
        <f>D23</f>
        <v>2025</v>
      </c>
      <c r="F24" s="1" t="s">
        <v>28</v>
      </c>
      <c r="G24" s="1"/>
      <c r="H24" s="47">
        <f ca="1">H21-SUM(H25:H29)</f>
        <v>58864588.807418227</v>
      </c>
      <c r="I24" s="42">
        <f t="shared" ref="I24:I29" ca="1" si="3">H24/$H$30</f>
        <v>0.16231198903556046</v>
      </c>
      <c r="M24" s="35"/>
    </row>
    <row r="25" spans="2:13" ht="14.4">
      <c r="B25" s="1" t="s">
        <v>679</v>
      </c>
      <c r="C25"/>
      <c r="D25" s="564">
        <v>1</v>
      </c>
      <c r="F25" s="197" t="s">
        <v>673</v>
      </c>
      <c r="G25" s="197"/>
      <c r="H25" s="498">
        <f ca="1">SUM('Phase I - CF MF Market Rental'!R23,'Phase I - CF Affordable Rental'!R23)</f>
        <v>55528895.184312232</v>
      </c>
      <c r="I25" s="42">
        <f t="shared" ca="1" si="3"/>
        <v>0.15311421703462297</v>
      </c>
      <c r="J25" s="203"/>
    </row>
    <row r="26" spans="2:13" s="167" customFormat="1">
      <c r="B26" t="s">
        <v>404</v>
      </c>
      <c r="C26"/>
      <c r="D26" s="180">
        <f>SUM(D24:D25)</f>
        <v>2026</v>
      </c>
      <c r="F26" s="1" t="s">
        <v>652</v>
      </c>
      <c r="G26" s="1"/>
      <c r="H26" s="47">
        <f ca="1">'Phase I - CF Affordable Rental'!R24</f>
        <v>18039385.784851126</v>
      </c>
      <c r="I26" s="42">
        <f t="shared" ca="1" si="3"/>
        <v>4.9741425992089972E-2</v>
      </c>
      <c r="J26" s="3"/>
      <c r="K26"/>
      <c r="L26"/>
    </row>
    <row r="27" spans="2:13" ht="14.4">
      <c r="B27" s="197" t="s">
        <v>678</v>
      </c>
      <c r="C27" s="167"/>
      <c r="D27" s="564">
        <v>5</v>
      </c>
      <c r="F27" s="1" t="s">
        <v>727</v>
      </c>
      <c r="G27" s="1"/>
      <c r="H27" s="47">
        <f ca="1">Taxes!N56</f>
        <v>1132418.7635563954</v>
      </c>
      <c r="I27" s="42">
        <f t="shared" ca="1" si="3"/>
        <v>3.1225078720139659E-3</v>
      </c>
      <c r="K27" s="167"/>
      <c r="L27" s="167"/>
    </row>
    <row r="28" spans="2:13" ht="13.8" thickBot="1">
      <c r="B28" s="197" t="s">
        <v>636</v>
      </c>
      <c r="D28" s="180">
        <f>D26+D27</f>
        <v>2031</v>
      </c>
      <c r="F28" s="197" t="s">
        <v>730</v>
      </c>
      <c r="G28" s="197"/>
      <c r="H28" s="406">
        <f>'Phase II - Summary'!H27</f>
        <v>11500000</v>
      </c>
      <c r="I28" s="398">
        <f t="shared" ca="1" si="3"/>
        <v>3.1709860065712622E-2</v>
      </c>
      <c r="J28" s="203"/>
    </row>
    <row r="29" spans="2:13" ht="15" thickBot="1">
      <c r="B29" t="s">
        <v>390</v>
      </c>
      <c r="C29"/>
      <c r="D29" s="565">
        <v>5.6000000000000001E-2</v>
      </c>
      <c r="F29" s="1" t="s">
        <v>424</v>
      </c>
      <c r="G29" s="1"/>
      <c r="H29" s="43">
        <f ca="1">J37</f>
        <v>217597932.81020698</v>
      </c>
      <c r="I29" s="42">
        <f t="shared" ca="1" si="3"/>
        <v>0.6</v>
      </c>
      <c r="K29" s="56" t="s">
        <v>634</v>
      </c>
      <c r="L29" s="205">
        <f ca="1">SUM(H24:H29)-H21</f>
        <v>0</v>
      </c>
    </row>
    <row r="30" spans="2:13" ht="14.4">
      <c r="B30" t="s">
        <v>405</v>
      </c>
      <c r="C30"/>
      <c r="D30" s="566">
        <v>0.01</v>
      </c>
      <c r="F30" s="8" t="s">
        <v>458</v>
      </c>
      <c r="G30" s="710"/>
      <c r="H30" s="234">
        <f ca="1">SUM(H24:H29)</f>
        <v>362663221.35034496</v>
      </c>
      <c r="I30" s="238">
        <f ca="1">SUM(I24:I29)</f>
        <v>1</v>
      </c>
      <c r="J30" s="49"/>
    </row>
    <row r="31" spans="2:13" ht="14.4">
      <c r="B31" s="14" t="s">
        <v>406</v>
      </c>
      <c r="C31" s="15"/>
      <c r="D31" s="567">
        <v>10</v>
      </c>
    </row>
    <row r="32" spans="2:13" ht="14.4">
      <c r="F32" s="10" t="s">
        <v>459</v>
      </c>
      <c r="G32" s="10"/>
      <c r="H32" s="48"/>
      <c r="I32" s="11"/>
      <c r="J32" s="48"/>
    </row>
    <row r="33" spans="6:11">
      <c r="F33" s="1" t="s">
        <v>424</v>
      </c>
      <c r="G33" s="1"/>
    </row>
    <row r="34" spans="6:11">
      <c r="F34" s="38"/>
      <c r="G34" s="38"/>
      <c r="H34" s="50" t="s">
        <v>463</v>
      </c>
      <c r="I34" s="50" t="s">
        <v>464</v>
      </c>
      <c r="J34" s="50" t="s">
        <v>465</v>
      </c>
    </row>
    <row r="35" spans="6:11">
      <c r="F35" s="1" t="s">
        <v>460</v>
      </c>
      <c r="G35" s="1"/>
      <c r="H35" s="715">
        <v>1.6500000000000001E-2</v>
      </c>
      <c r="I35" s="569">
        <v>550</v>
      </c>
      <c r="J35" s="239">
        <f>H35+(I35/10000)</f>
        <v>7.1500000000000008E-2</v>
      </c>
    </row>
    <row r="36" spans="6:11">
      <c r="F36" s="1" t="s">
        <v>461</v>
      </c>
      <c r="G36" s="1"/>
      <c r="I36" s="3"/>
      <c r="J36" s="568">
        <v>0.6</v>
      </c>
    </row>
    <row r="37" spans="6:11">
      <c r="F37" s="1" t="s">
        <v>462</v>
      </c>
      <c r="G37" s="1"/>
      <c r="I37" s="3"/>
      <c r="J37" s="43">
        <f ca="1">J36*H21</f>
        <v>217597932.81020698</v>
      </c>
    </row>
    <row r="38" spans="6:11">
      <c r="F38" s="1" t="s">
        <v>426</v>
      </c>
      <c r="G38" s="1"/>
      <c r="I38" s="3"/>
      <c r="J38" s="568">
        <v>0.01</v>
      </c>
    </row>
    <row r="40" spans="6:11" ht="14.4">
      <c r="F40" s="10" t="s">
        <v>466</v>
      </c>
      <c r="G40" s="10"/>
      <c r="H40" s="48"/>
      <c r="I40" s="11"/>
      <c r="J40" s="48"/>
    </row>
    <row r="41" spans="6:11">
      <c r="F41" s="38"/>
      <c r="G41" s="38"/>
      <c r="H41" s="50" t="s">
        <v>463</v>
      </c>
      <c r="I41" s="50" t="s">
        <v>464</v>
      </c>
      <c r="J41" s="50" t="s">
        <v>465</v>
      </c>
    </row>
    <row r="42" spans="6:11">
      <c r="F42" t="s">
        <v>460</v>
      </c>
      <c r="H42" s="568">
        <v>0.02</v>
      </c>
      <c r="I42" s="569">
        <v>250</v>
      </c>
      <c r="J42" s="239">
        <f>H42+(I42/10000)</f>
        <v>4.4999999999999998E-2</v>
      </c>
    </row>
    <row r="43" spans="6:11">
      <c r="F43" t="s">
        <v>467</v>
      </c>
      <c r="I43" s="3"/>
      <c r="J43" s="568">
        <v>0.7</v>
      </c>
      <c r="K43" s="1"/>
    </row>
    <row r="44" spans="6:11">
      <c r="F44" t="s">
        <v>468</v>
      </c>
      <c r="I44" s="3"/>
      <c r="J44" s="574">
        <v>4.4999999999999998E-2</v>
      </c>
    </row>
    <row r="45" spans="6:11">
      <c r="F45" s="1" t="s">
        <v>391</v>
      </c>
      <c r="G45" s="1"/>
      <c r="I45" s="52"/>
      <c r="J45" s="569">
        <v>10</v>
      </c>
    </row>
    <row r="46" spans="6:11">
      <c r="F46" s="1" t="s">
        <v>676</v>
      </c>
      <c r="G46" s="1"/>
      <c r="I46" s="3"/>
      <c r="J46" s="240">
        <f>D28</f>
        <v>2031</v>
      </c>
    </row>
    <row r="47" spans="6:11">
      <c r="F47" s="1" t="s">
        <v>675</v>
      </c>
      <c r="G47" s="1"/>
      <c r="I47" s="3"/>
      <c r="J47" s="240">
        <f>J46</f>
        <v>2031</v>
      </c>
    </row>
    <row r="48" spans="6:11">
      <c r="F48" s="1" t="s">
        <v>635</v>
      </c>
      <c r="G48" s="1"/>
      <c r="I48" s="3"/>
      <c r="J48" s="241">
        <f ca="1">OFFSET('Phase I - Pro Forma'!$E$40,0,MATCH('Phase I - Summary'!J46,'Phase I - Pro Forma'!F13:AJ13,0),)</f>
        <v>20981993.802886978</v>
      </c>
    </row>
    <row r="49" spans="6:10">
      <c r="F49" t="s">
        <v>469</v>
      </c>
      <c r="I49" s="3"/>
      <c r="J49" s="241">
        <f ca="1">J48/J44</f>
        <v>466266528.953044</v>
      </c>
    </row>
    <row r="50" spans="6:10">
      <c r="F50" t="s">
        <v>470</v>
      </c>
      <c r="I50" s="3"/>
      <c r="J50" s="241">
        <f ca="1">J49*J43</f>
        <v>326386570.26713079</v>
      </c>
    </row>
    <row r="51" spans="6:10">
      <c r="F51" t="s">
        <v>426</v>
      </c>
      <c r="I51" s="3"/>
      <c r="J51" s="568">
        <v>0.01</v>
      </c>
    </row>
  </sheetData>
  <pageMargins left="0.7" right="0.7" top="0.75" bottom="0.75" header="0.3" footer="0.3"/>
  <pageSetup scale="72" fitToHeight="0" orientation="portrait" r:id="rId1"/>
  <headerFooter>
    <oddHeader xml:space="preserve">&amp;L2019 ULI Hines Student Competition&amp;R2019-331 &amp;A 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F6B42-0E16-4D33-BBFF-528228E41ED4}">
  <sheetPr>
    <tabColor rgb="FF002060"/>
    <pageSetUpPr fitToPage="1"/>
  </sheetPr>
  <dimension ref="A1:FG78"/>
  <sheetViews>
    <sheetView showGridLines="0" view="pageBreakPreview" zoomScale="70" zoomScaleNormal="100" zoomScaleSheetLayoutView="70" workbookViewId="0">
      <pane xSplit="4" ySplit="13" topLeftCell="E14" activePane="bottomRight" state="frozen"/>
      <selection activeCell="O21" sqref="O21"/>
      <selection pane="topRight" activeCell="O21" sqref="O21"/>
      <selection pane="bottomLeft" activeCell="O21" sqref="O21"/>
      <selection pane="bottomRight" activeCell="E14" sqref="E14"/>
    </sheetView>
  </sheetViews>
  <sheetFormatPr defaultRowHeight="13.2"/>
  <cols>
    <col min="1" max="1" width="1.77734375" customWidth="1"/>
    <col min="3" max="3" width="23.88671875" customWidth="1"/>
    <col min="4" max="4" width="14.77734375" bestFit="1" customWidth="1"/>
    <col min="5" max="5" width="2.6640625" customWidth="1"/>
    <col min="6" max="6" width="13.33203125" bestFit="1" customWidth="1"/>
    <col min="7" max="7" width="12.77734375" bestFit="1" customWidth="1"/>
    <col min="8" max="8" width="13.33203125" bestFit="1" customWidth="1"/>
    <col min="9" max="9" width="15.109375" bestFit="1" customWidth="1"/>
    <col min="10" max="36" width="14.44140625" bestFit="1" customWidth="1"/>
    <col min="37" max="54" width="11.77734375" style="96" bestFit="1" customWidth="1"/>
    <col min="55" max="134" width="8.88671875" style="96"/>
    <col min="135" max="137" width="10.109375" style="96" bestFit="1" customWidth="1"/>
    <col min="138" max="16384" width="8.88671875" style="96"/>
  </cols>
  <sheetData>
    <row r="1" spans="1:163" s="92" customForma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</row>
    <row r="2" spans="1:163" s="92" customFormat="1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</row>
    <row r="3" spans="1:163" s="92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</row>
    <row r="4" spans="1:163" s="92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</row>
    <row r="5" spans="1:163" s="92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</row>
    <row r="6" spans="1:163" s="92" customFormat="1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163" s="92" customFormat="1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163" s="92" customFormat="1">
      <c r="A8"/>
      <c r="B8" s="410" t="s">
        <v>762</v>
      </c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163" s="92" customFormat="1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163" s="92" customFormat="1" ht="15" thickBot="1">
      <c r="A10"/>
      <c r="B10" s="172" t="s">
        <v>471</v>
      </c>
      <c r="C10" s="173"/>
      <c r="D10" s="173"/>
      <c r="E10" s="173"/>
      <c r="F10" s="173"/>
      <c r="G10" s="173"/>
      <c r="H10" s="174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</row>
    <row r="11" spans="1:163" s="92" customFormat="1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163" s="92" customFormat="1">
      <c r="A12"/>
      <c r="B12" s="1" t="s">
        <v>407</v>
      </c>
      <c r="C12"/>
      <c r="D12"/>
      <c r="E12"/>
      <c r="F12" s="207">
        <v>0</v>
      </c>
      <c r="G12" s="207">
        <f>F12+1</f>
        <v>1</v>
      </c>
      <c r="H12" s="207">
        <f t="shared" ref="H12:R13" si="0">G12+1</f>
        <v>2</v>
      </c>
      <c r="I12" s="207">
        <f t="shared" si="0"/>
        <v>3</v>
      </c>
      <c r="J12" s="207">
        <f t="shared" si="0"/>
        <v>4</v>
      </c>
      <c r="K12" s="207">
        <f t="shared" si="0"/>
        <v>5</v>
      </c>
      <c r="L12" s="207">
        <f t="shared" si="0"/>
        <v>6</v>
      </c>
      <c r="M12" s="207">
        <f t="shared" si="0"/>
        <v>7</v>
      </c>
      <c r="N12" s="207">
        <f t="shared" si="0"/>
        <v>8</v>
      </c>
      <c r="O12" s="207">
        <f t="shared" si="0"/>
        <v>9</v>
      </c>
      <c r="P12" s="207">
        <f t="shared" si="0"/>
        <v>10</v>
      </c>
      <c r="Q12" s="207">
        <f t="shared" si="0"/>
        <v>11</v>
      </c>
      <c r="R12" s="207">
        <f t="shared" si="0"/>
        <v>12</v>
      </c>
      <c r="S12" s="207">
        <f t="shared" ref="S12:S13" si="1">R12+1</f>
        <v>13</v>
      </c>
      <c r="T12" s="207">
        <f t="shared" ref="T12:T13" si="2">S12+1</f>
        <v>14</v>
      </c>
      <c r="U12" s="207">
        <f t="shared" ref="U12:U13" si="3">T12+1</f>
        <v>15</v>
      </c>
      <c r="V12" s="207">
        <f t="shared" ref="V12:V13" si="4">U12+1</f>
        <v>16</v>
      </c>
      <c r="W12" s="207">
        <f t="shared" ref="W12:W13" si="5">V12+1</f>
        <v>17</v>
      </c>
      <c r="X12" s="207">
        <f t="shared" ref="X12:X13" si="6">W12+1</f>
        <v>18</v>
      </c>
      <c r="Y12" s="207">
        <f t="shared" ref="Y12:Y13" si="7">X12+1</f>
        <v>19</v>
      </c>
      <c r="Z12" s="207">
        <f t="shared" ref="Z12:Z13" si="8">Y12+1</f>
        <v>20</v>
      </c>
      <c r="AA12" s="207">
        <f t="shared" ref="AA12:AA13" si="9">Z12+1</f>
        <v>21</v>
      </c>
      <c r="AB12" s="207">
        <f t="shared" ref="AB12:AB13" si="10">AA12+1</f>
        <v>22</v>
      </c>
      <c r="AC12" s="207">
        <f t="shared" ref="AC12:AC13" si="11">AB12+1</f>
        <v>23</v>
      </c>
      <c r="AD12" s="207">
        <f t="shared" ref="AD12:AD13" si="12">AC12+1</f>
        <v>24</v>
      </c>
      <c r="AE12" s="207">
        <f t="shared" ref="AE12:AE13" si="13">AD12+1</f>
        <v>25</v>
      </c>
      <c r="AF12" s="207">
        <f t="shared" ref="AF12:AF13" si="14">AE12+1</f>
        <v>26</v>
      </c>
      <c r="AG12" s="207">
        <f t="shared" ref="AG12:AG13" si="15">AF12+1</f>
        <v>27</v>
      </c>
      <c r="AH12" s="207">
        <f t="shared" ref="AH12:AH13" si="16">AG12+1</f>
        <v>28</v>
      </c>
      <c r="AI12" s="207">
        <f t="shared" ref="AI12:AI13" si="17">AH12+1</f>
        <v>29</v>
      </c>
      <c r="AJ12" s="207">
        <f t="shared" ref="AJ12:AJ13" si="18">AI12+1</f>
        <v>30</v>
      </c>
    </row>
    <row r="13" spans="1:163" s="92" customFormat="1">
      <c r="A13"/>
      <c r="B13" t="s">
        <v>408</v>
      </c>
      <c r="C13"/>
      <c r="D13"/>
      <c r="E13"/>
      <c r="F13" s="169">
        <f>'Phase I - Summary'!D20</f>
        <v>2020</v>
      </c>
      <c r="G13" s="169">
        <f>F13+1</f>
        <v>2021</v>
      </c>
      <c r="H13" s="169">
        <f t="shared" si="0"/>
        <v>2022</v>
      </c>
      <c r="I13" s="169">
        <f t="shared" si="0"/>
        <v>2023</v>
      </c>
      <c r="J13" s="169">
        <f t="shared" si="0"/>
        <v>2024</v>
      </c>
      <c r="K13" s="169">
        <f t="shared" si="0"/>
        <v>2025</v>
      </c>
      <c r="L13" s="169">
        <f t="shared" si="0"/>
        <v>2026</v>
      </c>
      <c r="M13" s="169">
        <f t="shared" si="0"/>
        <v>2027</v>
      </c>
      <c r="N13" s="169">
        <f t="shared" si="0"/>
        <v>2028</v>
      </c>
      <c r="O13" s="169">
        <f t="shared" si="0"/>
        <v>2029</v>
      </c>
      <c r="P13" s="169">
        <f t="shared" si="0"/>
        <v>2030</v>
      </c>
      <c r="Q13" s="169">
        <f t="shared" si="0"/>
        <v>2031</v>
      </c>
      <c r="R13" s="169">
        <f t="shared" si="0"/>
        <v>2032</v>
      </c>
      <c r="S13" s="169">
        <f t="shared" si="1"/>
        <v>2033</v>
      </c>
      <c r="T13" s="169">
        <f t="shared" si="2"/>
        <v>2034</v>
      </c>
      <c r="U13" s="169">
        <f t="shared" si="3"/>
        <v>2035</v>
      </c>
      <c r="V13" s="169">
        <f t="shared" si="4"/>
        <v>2036</v>
      </c>
      <c r="W13" s="169">
        <f t="shared" si="5"/>
        <v>2037</v>
      </c>
      <c r="X13" s="169">
        <f t="shared" si="6"/>
        <v>2038</v>
      </c>
      <c r="Y13" s="169">
        <f t="shared" si="7"/>
        <v>2039</v>
      </c>
      <c r="Z13" s="169">
        <f t="shared" si="8"/>
        <v>2040</v>
      </c>
      <c r="AA13" s="169">
        <f t="shared" si="9"/>
        <v>2041</v>
      </c>
      <c r="AB13" s="169">
        <f t="shared" si="10"/>
        <v>2042</v>
      </c>
      <c r="AC13" s="169">
        <f t="shared" si="11"/>
        <v>2043</v>
      </c>
      <c r="AD13" s="169">
        <f t="shared" si="12"/>
        <v>2044</v>
      </c>
      <c r="AE13" s="169">
        <f t="shared" si="13"/>
        <v>2045</v>
      </c>
      <c r="AF13" s="169">
        <f t="shared" si="14"/>
        <v>2046</v>
      </c>
      <c r="AG13" s="169">
        <f t="shared" si="15"/>
        <v>2047</v>
      </c>
      <c r="AH13" s="169">
        <f t="shared" si="16"/>
        <v>2048</v>
      </c>
      <c r="AI13" s="169">
        <f t="shared" si="17"/>
        <v>2049</v>
      </c>
      <c r="AJ13" s="169">
        <f t="shared" si="18"/>
        <v>2050</v>
      </c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  <c r="CT13" s="175"/>
      <c r="CU13" s="175"/>
      <c r="CV13" s="175"/>
      <c r="CW13" s="175"/>
      <c r="CX13" s="175"/>
      <c r="CY13" s="175"/>
      <c r="CZ13" s="175"/>
      <c r="DA13" s="175"/>
      <c r="DB13" s="175"/>
      <c r="DC13" s="175"/>
      <c r="DD13" s="175"/>
      <c r="DE13" s="175"/>
      <c r="DF13" s="175"/>
      <c r="DG13" s="175"/>
      <c r="DH13" s="175"/>
      <c r="DI13" s="175"/>
      <c r="DJ13" s="175"/>
      <c r="DK13" s="175"/>
      <c r="DL13" s="175"/>
      <c r="DM13" s="175"/>
      <c r="DN13" s="175"/>
      <c r="DO13" s="175"/>
      <c r="DP13" s="175"/>
      <c r="DQ13" s="175"/>
      <c r="DR13" s="175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  <c r="ED13" s="175"/>
      <c r="EE13" s="175"/>
      <c r="EF13" s="175"/>
      <c r="EG13" s="175"/>
      <c r="EH13" s="175"/>
      <c r="EI13" s="175"/>
      <c r="EJ13" s="175"/>
      <c r="EK13" s="175"/>
      <c r="EL13" s="175"/>
      <c r="EM13" s="175"/>
      <c r="EN13" s="175"/>
      <c r="EO13" s="175"/>
      <c r="EP13" s="175"/>
      <c r="EQ13" s="175"/>
      <c r="ER13" s="175"/>
      <c r="ES13" s="175"/>
      <c r="ET13" s="175"/>
      <c r="EU13" s="175"/>
      <c r="EV13" s="175"/>
      <c r="EW13" s="175"/>
      <c r="EX13" s="175"/>
      <c r="EY13" s="175"/>
      <c r="EZ13" s="175"/>
      <c r="FA13" s="175"/>
      <c r="FB13" s="175"/>
      <c r="FC13" s="175"/>
      <c r="FD13" s="175"/>
      <c r="FE13" s="175"/>
      <c r="FF13" s="175"/>
      <c r="FG13" s="175"/>
    </row>
    <row r="14" spans="1:163" s="92" customFormat="1">
      <c r="A14"/>
      <c r="B14"/>
      <c r="C14"/>
      <c r="D14"/>
      <c r="E14"/>
      <c r="F14" s="13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</row>
    <row r="15" spans="1:163" s="92" customFormat="1" ht="14.4">
      <c r="A15"/>
      <c r="B15"/>
      <c r="C15"/>
      <c r="D15" s="16" t="s">
        <v>16</v>
      </c>
      <c r="E15"/>
      <c r="F15" s="13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</row>
    <row r="16" spans="1:163" s="92" customFormat="1">
      <c r="A16"/>
      <c r="B16" t="s">
        <v>409</v>
      </c>
      <c r="C16"/>
      <c r="D16" s="17">
        <f>SUM(F16:DV16)</f>
        <v>1</v>
      </c>
      <c r="E16"/>
      <c r="F16" s="12">
        <v>0</v>
      </c>
      <c r="G16" s="12">
        <v>0</v>
      </c>
      <c r="H16" s="12">
        <f>IF(H13&lt;'Phase I - Summary'!$D$23,1/'Phase I - Summary'!$D$22,0)</f>
        <v>0.33333333333333331</v>
      </c>
      <c r="I16" s="12">
        <f>IF(I13&lt;'Phase I - Summary'!$D$23,1/'Phase I - Summary'!$D$22,0)</f>
        <v>0.33333333333333331</v>
      </c>
      <c r="J16" s="12">
        <f>IF(J13&lt;'Phase I - Summary'!$D$23,1/'Phase I - Summary'!$D$22,0)</f>
        <v>0.33333333333333331</v>
      </c>
      <c r="K16" s="12">
        <f>IF(K13&lt;'Phase I - Summary'!$D$23,1/'Phase I - Summary'!$D$22,0)</f>
        <v>0</v>
      </c>
      <c r="L16" s="12">
        <f>IF(L13&lt;'Phase I - Summary'!$D$23,1/'Phase I - Summary'!$D$22,0)</f>
        <v>0</v>
      </c>
      <c r="M16" s="12">
        <f>IF(M13&lt;'Phase I - Summary'!$D$23,1/'Phase I - Summary'!$D$22,0)</f>
        <v>0</v>
      </c>
      <c r="N16" s="12">
        <f>IF(N13&lt;'Phase I - Summary'!$D$23,1/'Phase I - Summary'!$D$22,0)</f>
        <v>0</v>
      </c>
      <c r="O16" s="12">
        <f>IF(O13&lt;'Phase I - Summary'!$D$23,1/'Phase I - Summary'!$D$22,0)</f>
        <v>0</v>
      </c>
      <c r="P16" s="12">
        <f>IF(P13&lt;'Phase I - Summary'!$D$23,1/'Phase I - Summary'!$D$22,0)</f>
        <v>0</v>
      </c>
      <c r="Q16" s="12">
        <f>IF(Q13&lt;'Phase I - Summary'!$D$23,1/'Phase I - Summary'!$D$22,0)</f>
        <v>0</v>
      </c>
      <c r="R16" s="12">
        <f>IF(R13&lt;'Phase I - Summary'!$D$23,1/'Phase I - Summary'!$D$22,0)</f>
        <v>0</v>
      </c>
      <c r="S16" s="12">
        <f>IF(S13&lt;'Phase I - Summary'!$D$23,1/'Phase I - Summary'!$D$22,0)</f>
        <v>0</v>
      </c>
      <c r="T16" s="12">
        <f>IF(T13&lt;'Phase I - Summary'!$D$23,1/'Phase I - Summary'!$D$22,0)</f>
        <v>0</v>
      </c>
      <c r="U16" s="12">
        <f>IF(U13&lt;'Phase I - Summary'!$D$23,1/'Phase I - Summary'!$D$22,0)</f>
        <v>0</v>
      </c>
      <c r="V16" s="12">
        <f>IF(V13&lt;'Phase I - Summary'!$D$23,1/'Phase I - Summary'!$D$22,0)</f>
        <v>0</v>
      </c>
      <c r="W16" s="12">
        <f>IF(W13&lt;'Phase I - Summary'!$D$23,1/'Phase I - Summary'!$D$22,0)</f>
        <v>0</v>
      </c>
      <c r="X16" s="12">
        <f>IF(X13&lt;'Phase I - Summary'!$D$23,1/'Phase I - Summary'!$D$22,0)</f>
        <v>0</v>
      </c>
      <c r="Y16" s="12">
        <f>IF(Y13&lt;'Phase I - Summary'!$D$23,1/'Phase I - Summary'!$D$22,0)</f>
        <v>0</v>
      </c>
      <c r="Z16" s="12">
        <f>IF(Z13&lt;'Phase I - Summary'!$D$23,1/'Phase I - Summary'!$D$22,0)</f>
        <v>0</v>
      </c>
      <c r="AA16" s="12">
        <f>IF(AA13&lt;'Phase I - Summary'!$D$23,1/'Phase I - Summary'!$D$22,0)</f>
        <v>0</v>
      </c>
      <c r="AB16" s="12">
        <f>IF(AB13&lt;'Phase I - Summary'!$D$23,1/'Phase I - Summary'!$D$22,0)</f>
        <v>0</v>
      </c>
      <c r="AC16" s="12">
        <f>IF(AC13&lt;'Phase I - Summary'!$D$23,1/'Phase I - Summary'!$D$22,0)</f>
        <v>0</v>
      </c>
      <c r="AD16" s="12">
        <f>IF(AD13&lt;'Phase I - Summary'!$D$23,1/'Phase I - Summary'!$D$22,0)</f>
        <v>0</v>
      </c>
      <c r="AE16" s="12">
        <f>IF(AE13&lt;'Phase I - Summary'!$D$23,1/'Phase I - Summary'!$D$22,0)</f>
        <v>0</v>
      </c>
      <c r="AF16" s="12">
        <f>IF(AF13&lt;'Phase I - Summary'!$D$23,1/'Phase I - Summary'!$D$22,0)</f>
        <v>0</v>
      </c>
      <c r="AG16" s="12">
        <f>IF(AG13&lt;'Phase I - Summary'!$D$23,1/'Phase I - Summary'!$D$22,0)</f>
        <v>0</v>
      </c>
      <c r="AH16" s="12">
        <f>IF(AH13&lt;'Phase I - Summary'!$D$23,1/'Phase I - Summary'!$D$22,0)</f>
        <v>0</v>
      </c>
      <c r="AI16" s="12">
        <f>IF(AI13&lt;'Phase I - Summary'!$D$23,1/'Phase I - Summary'!$D$22,0)</f>
        <v>0</v>
      </c>
      <c r="AJ16" s="12">
        <f>IF(AJ13&lt;'Phase I - Summary'!$D$23,1/'Phase I - Summary'!$D$22,0)</f>
        <v>0</v>
      </c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  <c r="AZ16" s="176"/>
      <c r="BA16" s="176"/>
      <c r="BB16" s="176"/>
      <c r="BC16" s="176"/>
      <c r="BD16" s="176"/>
      <c r="BE16" s="176"/>
      <c r="BF16" s="176"/>
      <c r="BG16" s="176"/>
      <c r="BH16" s="176"/>
      <c r="BI16" s="176"/>
      <c r="BJ16" s="176"/>
      <c r="BK16" s="176"/>
      <c r="BL16" s="176"/>
      <c r="BM16" s="176"/>
      <c r="BN16" s="176"/>
      <c r="BO16" s="176"/>
      <c r="BP16" s="176"/>
      <c r="BQ16" s="176"/>
      <c r="BR16" s="176"/>
      <c r="BS16" s="176"/>
      <c r="BT16" s="176"/>
      <c r="BU16" s="176"/>
      <c r="BV16" s="176"/>
      <c r="BW16" s="176"/>
      <c r="BX16" s="176"/>
      <c r="BY16" s="176"/>
      <c r="BZ16" s="176"/>
      <c r="CA16" s="176"/>
      <c r="CB16" s="176"/>
      <c r="CC16" s="176"/>
      <c r="CD16" s="176"/>
      <c r="CE16" s="176"/>
      <c r="CF16" s="176"/>
      <c r="CG16" s="176"/>
      <c r="CH16" s="176"/>
      <c r="CI16" s="176"/>
      <c r="CJ16" s="176"/>
      <c r="CK16" s="176"/>
      <c r="CL16" s="176"/>
      <c r="CM16" s="176"/>
      <c r="CN16" s="176"/>
      <c r="CO16" s="176"/>
      <c r="CP16" s="176"/>
      <c r="CQ16" s="176"/>
      <c r="CR16" s="176"/>
      <c r="CS16" s="176"/>
      <c r="CT16" s="176"/>
      <c r="CU16" s="176"/>
      <c r="CV16" s="176"/>
      <c r="CW16" s="176"/>
      <c r="CX16" s="176"/>
      <c r="CY16" s="176"/>
      <c r="CZ16" s="176"/>
      <c r="DA16" s="176"/>
      <c r="DB16" s="176"/>
      <c r="DC16" s="176"/>
      <c r="DD16" s="176"/>
      <c r="DE16" s="176"/>
      <c r="DF16" s="176"/>
      <c r="DG16" s="176"/>
      <c r="DH16" s="176"/>
      <c r="DI16" s="176"/>
      <c r="DJ16" s="176"/>
      <c r="DK16" s="176"/>
      <c r="DL16" s="176"/>
      <c r="DM16" s="176"/>
      <c r="DN16" s="176"/>
      <c r="DO16" s="176"/>
      <c r="DP16" s="176"/>
      <c r="DQ16" s="176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  <c r="EB16" s="176"/>
      <c r="EC16" s="176"/>
      <c r="ED16" s="176"/>
      <c r="EE16" s="176"/>
      <c r="EF16" s="176"/>
      <c r="EG16" s="176"/>
      <c r="EH16" s="176"/>
    </row>
    <row r="17" spans="1:138" s="92" customFormat="1">
      <c r="A17"/>
      <c r="B17"/>
      <c r="C17"/>
      <c r="D17" s="18"/>
      <c r="E17"/>
      <c r="F17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  <c r="AZ17" s="176"/>
      <c r="BA17" s="176"/>
      <c r="BB17" s="176"/>
      <c r="BC17" s="176"/>
      <c r="BD17" s="176"/>
      <c r="BE17" s="176"/>
      <c r="BF17" s="176"/>
      <c r="BG17" s="176"/>
      <c r="BH17" s="176"/>
      <c r="BI17" s="176"/>
      <c r="BJ17" s="176"/>
      <c r="BK17" s="176"/>
      <c r="BL17" s="176"/>
      <c r="BM17" s="176"/>
      <c r="BN17" s="176"/>
      <c r="BO17" s="176"/>
      <c r="BP17" s="176"/>
      <c r="BQ17" s="176"/>
      <c r="BR17" s="176"/>
      <c r="BS17" s="176"/>
      <c r="BT17" s="176"/>
      <c r="BU17" s="176"/>
      <c r="BV17" s="176"/>
      <c r="BW17" s="176"/>
      <c r="BX17" s="176"/>
      <c r="BY17" s="176"/>
      <c r="BZ17" s="176"/>
      <c r="CA17" s="176"/>
      <c r="CB17" s="176"/>
      <c r="CC17" s="176"/>
      <c r="CD17" s="176"/>
      <c r="CE17" s="176"/>
      <c r="CF17" s="176"/>
      <c r="CG17" s="176"/>
      <c r="CH17" s="176"/>
      <c r="CI17" s="176"/>
      <c r="CJ17" s="176"/>
      <c r="CK17" s="176"/>
      <c r="CL17" s="176"/>
      <c r="CM17" s="176"/>
      <c r="CN17" s="176"/>
      <c r="CO17" s="176"/>
      <c r="CP17" s="176"/>
      <c r="CQ17" s="176"/>
      <c r="CR17" s="176"/>
      <c r="CS17" s="176"/>
      <c r="CT17" s="176"/>
      <c r="CU17" s="176"/>
      <c r="CV17" s="176"/>
      <c r="CW17" s="176"/>
      <c r="CX17" s="176"/>
      <c r="CY17" s="176"/>
      <c r="CZ17" s="176"/>
      <c r="DA17" s="176"/>
      <c r="DB17" s="176"/>
      <c r="DC17" s="176"/>
      <c r="DD17" s="176"/>
      <c r="DE17" s="176"/>
      <c r="DF17" s="176"/>
      <c r="DG17" s="176"/>
      <c r="DH17" s="176"/>
      <c r="DI17" s="176"/>
      <c r="DJ17" s="176"/>
      <c r="DK17" s="176"/>
      <c r="DL17" s="176"/>
      <c r="DM17" s="176"/>
      <c r="DN17" s="176"/>
      <c r="DO17" s="176"/>
      <c r="DP17" s="176"/>
      <c r="DQ17" s="176"/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  <c r="EB17" s="176"/>
      <c r="EC17" s="176"/>
      <c r="ED17" s="176"/>
      <c r="EE17" s="176"/>
      <c r="EF17" s="176"/>
      <c r="EG17" s="176"/>
      <c r="EH17" s="176"/>
    </row>
    <row r="18" spans="1:138" s="92" customFormat="1">
      <c r="A18"/>
      <c r="B18" t="s">
        <v>46</v>
      </c>
      <c r="C18"/>
      <c r="D18" s="19">
        <f>SUM(F18:DV18)</f>
        <v>44629803</v>
      </c>
      <c r="E18"/>
      <c r="F18" s="6">
        <f>IF(F13='Phase I - Summary'!$D$20,'Phase I - Summary'!$H$14,0)</f>
        <v>44629803</v>
      </c>
      <c r="G18" s="6">
        <f>IF(G13='[1]Summary Inputs'!$D$13,'[1]Summary Inputs'!I6,0)</f>
        <v>0</v>
      </c>
      <c r="H18" s="6">
        <f>IF(H13='[1]Summary Inputs'!$D$13,'[1]Summary Inputs'!J6,0)</f>
        <v>0</v>
      </c>
      <c r="I18" s="6">
        <f>IF(I13='[1]Summary Inputs'!$D$13,'[1]Summary Inputs'!K6,0)</f>
        <v>0</v>
      </c>
      <c r="J18" s="6">
        <f>IF(J13='[1]Summary Inputs'!$D$13,'[1]Summary Inputs'!L5,0)</f>
        <v>0</v>
      </c>
      <c r="K18" s="6">
        <f>IF(K13='[1]Summary Inputs'!$D$13,'[1]Summary Inputs'!#REF!,0)</f>
        <v>0</v>
      </c>
      <c r="L18" s="6">
        <f>IF(L13='[1]Summary Inputs'!$D$13,'[1]Summary Inputs'!I22,0)</f>
        <v>0</v>
      </c>
      <c r="M18" s="6">
        <f>IF(M13='[1]Summary Inputs'!$D$13,'[1]Summary Inputs'!K22,0)</f>
        <v>0</v>
      </c>
      <c r="N18" s="6">
        <f>IF(N13='[1]Summary Inputs'!$D$13,'[1]Summary Inputs'!#REF!,0)</f>
        <v>0</v>
      </c>
      <c r="O18" s="6">
        <f>IF(O13='[1]Summary Inputs'!$D$13,'[1]Summary Inputs'!M14,0)</f>
        <v>0</v>
      </c>
      <c r="P18" s="6">
        <f>IF(P13='[1]Summary Inputs'!$D$13,'[1]Summary Inputs'!O14,0)</f>
        <v>0</v>
      </c>
      <c r="Q18" s="6">
        <f>IF(Q13='[1]Summary Inputs'!$D$13,'[1]Summary Inputs'!R14,0)</f>
        <v>0</v>
      </c>
      <c r="R18" s="6">
        <f>IF(R13='[1]Summary Inputs'!$D$13,'[1]Summary Inputs'!#REF!,0)</f>
        <v>0</v>
      </c>
      <c r="S18" s="6">
        <f>IF(S13='[1]Summary Inputs'!$D$13,'[1]Summary Inputs'!#REF!,0)</f>
        <v>0</v>
      </c>
      <c r="T18" s="6">
        <f>IF(T13='[1]Summary Inputs'!$D$13,'[1]Summary Inputs'!#REF!,0)</f>
        <v>0</v>
      </c>
      <c r="U18" s="6">
        <f>IF(U13='[1]Summary Inputs'!$D$13,'[1]Summary Inputs'!#REF!,0)</f>
        <v>0</v>
      </c>
      <c r="V18" s="6">
        <f>IF(V13='[1]Summary Inputs'!$D$13,'[1]Summary Inputs'!#REF!,0)</f>
        <v>0</v>
      </c>
      <c r="W18" s="6">
        <f>IF(W13='[1]Summary Inputs'!$D$13,'[1]Summary Inputs'!#REF!,0)</f>
        <v>0</v>
      </c>
      <c r="X18" s="6">
        <f>IF(X13='[1]Summary Inputs'!$D$13,'[1]Summary Inputs'!#REF!,0)</f>
        <v>0</v>
      </c>
      <c r="Y18" s="6">
        <f>IF(Y13='[1]Summary Inputs'!$D$13,'[1]Summary Inputs'!#REF!,0)</f>
        <v>0</v>
      </c>
      <c r="Z18" s="6">
        <f>IF(Z13='[1]Summary Inputs'!$D$13,'[1]Summary Inputs'!#REF!,0)</f>
        <v>0</v>
      </c>
      <c r="AA18" s="6">
        <f>IF(AA13='[1]Summary Inputs'!$D$13,'[1]Summary Inputs'!#REF!,0)</f>
        <v>0</v>
      </c>
      <c r="AB18" s="6">
        <f>IF(AB13='[1]Summary Inputs'!$D$13,'[1]Summary Inputs'!#REF!,0)</f>
        <v>0</v>
      </c>
      <c r="AC18" s="6">
        <f>IF(AC13='[1]Summary Inputs'!$D$13,'[1]Summary Inputs'!#REF!,0)</f>
        <v>0</v>
      </c>
      <c r="AD18" s="6">
        <f>IF(AD13='[1]Summary Inputs'!$D$13,'[1]Summary Inputs'!#REF!,0)</f>
        <v>0</v>
      </c>
      <c r="AE18" s="6">
        <f>IF(AE13='[1]Summary Inputs'!$D$13,'[1]Summary Inputs'!#REF!,0)</f>
        <v>0</v>
      </c>
      <c r="AF18" s="6">
        <f>IF(AF13='[1]Summary Inputs'!$D$13,'[1]Summary Inputs'!#REF!,0)</f>
        <v>0</v>
      </c>
      <c r="AG18" s="6">
        <f>IF(AG13='[1]Summary Inputs'!$D$13,'[1]Summary Inputs'!#REF!,0)</f>
        <v>0</v>
      </c>
      <c r="AH18" s="6">
        <f>IF(AH13='[1]Summary Inputs'!$D$13,'[1]Summary Inputs'!#REF!,0)</f>
        <v>0</v>
      </c>
      <c r="AI18" s="6">
        <f>IF(AI13='[1]Summary Inputs'!$D$13,'[1]Summary Inputs'!#REF!,0)</f>
        <v>0</v>
      </c>
      <c r="AJ18" s="6">
        <f>IF(AJ13='[1]Summary Inputs'!$D$13,'[1]Summary Inputs'!#REF!,0)</f>
        <v>0</v>
      </c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</row>
    <row r="19" spans="1:138" s="92" customFormat="1">
      <c r="A19"/>
      <c r="B19" t="s">
        <v>395</v>
      </c>
      <c r="C19"/>
      <c r="D19" s="19">
        <f t="shared" ref="D19:D22" si="19">SUM(F19:DV19)</f>
        <v>191051540</v>
      </c>
      <c r="E19"/>
      <c r="F19" s="6">
        <f>F16*'Phase I - Summary'!$H$15</f>
        <v>0</v>
      </c>
      <c r="G19" s="6">
        <f>G16*'Phase I - Summary'!$H$15</f>
        <v>0</v>
      </c>
      <c r="H19" s="6">
        <f>H16*'Phase I - Summary'!$H$15</f>
        <v>63683846.666666664</v>
      </c>
      <c r="I19" s="6">
        <f>I16*'Phase I - Summary'!$H$15</f>
        <v>63683846.666666664</v>
      </c>
      <c r="J19" s="6">
        <f>J16*'Phase I - Summary'!$H$15</f>
        <v>63683846.666666664</v>
      </c>
      <c r="K19" s="6">
        <f>K16*'Phase I - Summary'!$H$15</f>
        <v>0</v>
      </c>
      <c r="L19" s="6">
        <f>L16*'Phase I - Summary'!$H$15</f>
        <v>0</v>
      </c>
      <c r="M19" s="6">
        <f>M16*'Phase I - Summary'!$H$15</f>
        <v>0</v>
      </c>
      <c r="N19" s="6">
        <f>N16*'Phase I - Summary'!$H$15</f>
        <v>0</v>
      </c>
      <c r="O19" s="6">
        <f>O16*'Phase I - Summary'!$H$15</f>
        <v>0</v>
      </c>
      <c r="P19" s="6">
        <f>P16*'Phase I - Summary'!$H$15</f>
        <v>0</v>
      </c>
      <c r="Q19" s="6">
        <f>Q16*'Phase I - Summary'!$H$15</f>
        <v>0</v>
      </c>
      <c r="R19" s="6">
        <f>R16*'Phase I - Summary'!$H$15</f>
        <v>0</v>
      </c>
      <c r="S19" s="6">
        <f>S16*'Phase I - Summary'!$H$15</f>
        <v>0</v>
      </c>
      <c r="T19" s="6">
        <f>T16*'Phase I - Summary'!$H$15</f>
        <v>0</v>
      </c>
      <c r="U19" s="6">
        <f>U16*'Phase I - Summary'!$H$15</f>
        <v>0</v>
      </c>
      <c r="V19" s="6">
        <f>V16*'Phase I - Summary'!$H$15</f>
        <v>0</v>
      </c>
      <c r="W19" s="6">
        <f>W16*'Phase I - Summary'!$H$15</f>
        <v>0</v>
      </c>
      <c r="X19" s="6">
        <f>X16*'Phase I - Summary'!$H$15</f>
        <v>0</v>
      </c>
      <c r="Y19" s="6">
        <f>Y16*'Phase I - Summary'!$H$15</f>
        <v>0</v>
      </c>
      <c r="Z19" s="6">
        <f>Z16*'Phase I - Summary'!$H$15</f>
        <v>0</v>
      </c>
      <c r="AA19" s="6">
        <f>AA16*'Phase I - Summary'!$H$15</f>
        <v>0</v>
      </c>
      <c r="AB19" s="6">
        <f>AB16*'Phase I - Summary'!$H$15</f>
        <v>0</v>
      </c>
      <c r="AC19" s="6">
        <f>AC16*'Phase I - Summary'!$H$15</f>
        <v>0</v>
      </c>
      <c r="AD19" s="6">
        <f>AD16*'Phase I - Summary'!$H$15</f>
        <v>0</v>
      </c>
      <c r="AE19" s="6">
        <f>AE16*'Phase I - Summary'!$H$15</f>
        <v>0</v>
      </c>
      <c r="AF19" s="6">
        <f>AF16*'Phase I - Summary'!$H$15</f>
        <v>0</v>
      </c>
      <c r="AG19" s="6">
        <f>AG16*'Phase I - Summary'!$H$15</f>
        <v>0</v>
      </c>
      <c r="AH19" s="6">
        <f>AH16*'Phase I - Summary'!$H$15</f>
        <v>0</v>
      </c>
      <c r="AI19" s="6">
        <f>AI16*'Phase I - Summary'!$H$15</f>
        <v>0</v>
      </c>
      <c r="AJ19" s="6">
        <f>AJ16*'Phase I - Summary'!$H$15</f>
        <v>0</v>
      </c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</row>
    <row r="20" spans="1:138" s="92" customFormat="1">
      <c r="A20"/>
      <c r="B20" t="s">
        <v>410</v>
      </c>
      <c r="C20"/>
      <c r="D20" s="19">
        <f t="shared" si="19"/>
        <v>47762885</v>
      </c>
      <c r="E20"/>
      <c r="F20" s="6">
        <f>F$16*'Phase I - Summary'!$H$16</f>
        <v>0</v>
      </c>
      <c r="G20" s="6">
        <f>G16*'Phase I - Summary'!$H$16</f>
        <v>0</v>
      </c>
      <c r="H20" s="6">
        <f>H16*'Phase I - Summary'!$H$16</f>
        <v>15920961.666666666</v>
      </c>
      <c r="I20" s="6">
        <f>I16*'Phase I - Summary'!$H$16</f>
        <v>15920961.666666666</v>
      </c>
      <c r="J20" s="6">
        <f>J16*'Phase I - Summary'!$H$16</f>
        <v>15920961.666666666</v>
      </c>
      <c r="K20" s="6">
        <f>K16*'Phase I - Summary'!$H$16</f>
        <v>0</v>
      </c>
      <c r="L20" s="6">
        <f>L16*'Phase I - Summary'!$H$16</f>
        <v>0</v>
      </c>
      <c r="M20" s="6">
        <f>M16*'Phase I - Summary'!$H$16</f>
        <v>0</v>
      </c>
      <c r="N20" s="6">
        <f>N16*'Phase I - Summary'!$H$16</f>
        <v>0</v>
      </c>
      <c r="O20" s="6">
        <f>O16*'Phase I - Summary'!$H$16</f>
        <v>0</v>
      </c>
      <c r="P20" s="6">
        <f>P16*'Phase I - Summary'!$H$16</f>
        <v>0</v>
      </c>
      <c r="Q20" s="6">
        <f>Q16*'Phase I - Summary'!$H$16</f>
        <v>0</v>
      </c>
      <c r="R20" s="6">
        <f>R16*'Phase I - Summary'!$H$16</f>
        <v>0</v>
      </c>
      <c r="S20" s="6">
        <f>S16*'Phase I - Summary'!$H$16</f>
        <v>0</v>
      </c>
      <c r="T20" s="6">
        <f>T16*'Phase I - Summary'!$H$16</f>
        <v>0</v>
      </c>
      <c r="U20" s="6">
        <f>U16*'Phase I - Summary'!$H$16</f>
        <v>0</v>
      </c>
      <c r="V20" s="6">
        <f>V16*'Phase I - Summary'!$H$16</f>
        <v>0</v>
      </c>
      <c r="W20" s="6">
        <f>W16*'Phase I - Summary'!$H$16</f>
        <v>0</v>
      </c>
      <c r="X20" s="6">
        <f>X16*'Phase I - Summary'!$H$16</f>
        <v>0</v>
      </c>
      <c r="Y20" s="6">
        <f>Y16*'Phase I - Summary'!$H$16</f>
        <v>0</v>
      </c>
      <c r="Z20" s="6">
        <f>Z16*'Phase I - Summary'!$H$16</f>
        <v>0</v>
      </c>
      <c r="AA20" s="6">
        <f>AA16*'Phase I - Summary'!$H$16</f>
        <v>0</v>
      </c>
      <c r="AB20" s="6">
        <f>AB16*'Phase I - Summary'!$H$16</f>
        <v>0</v>
      </c>
      <c r="AC20" s="6">
        <f>AC16*'Phase I - Summary'!$H$16</f>
        <v>0</v>
      </c>
      <c r="AD20" s="6">
        <f>AD16*'Phase I - Summary'!$H$16</f>
        <v>0</v>
      </c>
      <c r="AE20" s="6">
        <f>AE16*'Phase I - Summary'!$H$16</f>
        <v>0</v>
      </c>
      <c r="AF20" s="6">
        <f>AF16*'Phase I - Summary'!$H$16</f>
        <v>0</v>
      </c>
      <c r="AG20" s="6">
        <f>AG16*'Phase I - Summary'!$H$16</f>
        <v>0</v>
      </c>
      <c r="AH20" s="6">
        <f>AH16*'Phase I - Summary'!$H$16</f>
        <v>0</v>
      </c>
      <c r="AI20" s="6">
        <f>AI16*'Phase I - Summary'!$H$16</f>
        <v>0</v>
      </c>
      <c r="AJ20" s="6">
        <f>AJ16*'Phase I - Summary'!$H$16</f>
        <v>0</v>
      </c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</row>
    <row r="21" spans="1:138" s="92" customFormat="1">
      <c r="A21"/>
      <c r="B21" s="1" t="s">
        <v>9</v>
      </c>
      <c r="C21"/>
      <c r="D21" s="19">
        <f t="shared" si="19"/>
        <v>20766797.699999999</v>
      </c>
      <c r="E21"/>
      <c r="F21" s="6">
        <f>F$16*'Infrastructure Budget'!$F$37</f>
        <v>0</v>
      </c>
      <c r="G21" s="6">
        <f>G$16*'Infrastructure Budget'!$F$37</f>
        <v>0</v>
      </c>
      <c r="H21" s="6">
        <f>H$16*'Infrastructure Budget'!$F$37</f>
        <v>6922265.8999999994</v>
      </c>
      <c r="I21" s="6">
        <f>I$16*'Infrastructure Budget'!$F$37</f>
        <v>6922265.8999999994</v>
      </c>
      <c r="J21" s="6">
        <f>J$16*'Infrastructure Budget'!$F$37</f>
        <v>6922265.8999999994</v>
      </c>
      <c r="K21" s="6">
        <f>K$16*'Infrastructure Budget'!$F$37</f>
        <v>0</v>
      </c>
      <c r="L21" s="6">
        <f>L$16*'Infrastructure Budget'!$F$37</f>
        <v>0</v>
      </c>
      <c r="M21" s="6">
        <f>M$16*'Infrastructure Budget'!$F$37</f>
        <v>0</v>
      </c>
      <c r="N21" s="6">
        <f>N$16*'Infrastructure Budget'!$F$37</f>
        <v>0</v>
      </c>
      <c r="O21" s="6">
        <f>O$16*'Infrastructure Budget'!$F$37</f>
        <v>0</v>
      </c>
      <c r="P21" s="6">
        <f>P$16*'Infrastructure Budget'!$F$37</f>
        <v>0</v>
      </c>
      <c r="Q21" s="6">
        <f>Q$16*'Infrastructure Budget'!$F$37</f>
        <v>0</v>
      </c>
      <c r="R21" s="6">
        <f>R$16*'Infrastructure Budget'!$F$37</f>
        <v>0</v>
      </c>
      <c r="S21" s="6">
        <f>S$16*'Infrastructure Budget'!$F$37</f>
        <v>0</v>
      </c>
      <c r="T21" s="6">
        <f>T$16*'Infrastructure Budget'!$F$37</f>
        <v>0</v>
      </c>
      <c r="U21" s="6">
        <f>U$16*'Infrastructure Budget'!$F$37</f>
        <v>0</v>
      </c>
      <c r="V21" s="6">
        <f>V$16*'Infrastructure Budget'!$F$37</f>
        <v>0</v>
      </c>
      <c r="W21" s="6">
        <f>W$16*'Infrastructure Budget'!$F$37</f>
        <v>0</v>
      </c>
      <c r="X21" s="6">
        <f>X$16*'Infrastructure Budget'!$F$37</f>
        <v>0</v>
      </c>
      <c r="Y21" s="6">
        <f>Y$16*'Infrastructure Budget'!$F$37</f>
        <v>0</v>
      </c>
      <c r="Z21" s="6">
        <f>Z$16*'Infrastructure Budget'!$F$37</f>
        <v>0</v>
      </c>
      <c r="AA21" s="6">
        <f>AA$16*'Infrastructure Budget'!$F$37</f>
        <v>0</v>
      </c>
      <c r="AB21" s="6">
        <f>AB$16*'Infrastructure Budget'!$F$37</f>
        <v>0</v>
      </c>
      <c r="AC21" s="6">
        <f>AC$16*'Infrastructure Budget'!$F$37</f>
        <v>0</v>
      </c>
      <c r="AD21" s="6">
        <f>AD$16*'Infrastructure Budget'!$F$37</f>
        <v>0</v>
      </c>
      <c r="AE21" s="6">
        <f>AE$16*'Infrastructure Budget'!$F$37</f>
        <v>0</v>
      </c>
      <c r="AF21" s="6">
        <f>AF$16*'Infrastructure Budget'!$F$37</f>
        <v>0</v>
      </c>
      <c r="AG21" s="6">
        <f>AG$16*'Infrastructure Budget'!$F$37</f>
        <v>0</v>
      </c>
      <c r="AH21" s="6">
        <f>AH$16*'Infrastructure Budget'!$F$37</f>
        <v>0</v>
      </c>
      <c r="AI21" s="6">
        <f>AI$16*'Infrastructure Budget'!$F$37</f>
        <v>0</v>
      </c>
      <c r="AJ21" s="6">
        <f>AJ$16*'Infrastructure Budget'!$F$37</f>
        <v>0</v>
      </c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</row>
    <row r="22" spans="1:138" s="92" customFormat="1">
      <c r="A22"/>
      <c r="B22" s="38" t="s">
        <v>3</v>
      </c>
      <c r="C22" s="38"/>
      <c r="D22" s="53">
        <f t="shared" si="19"/>
        <v>304211025.69999999</v>
      </c>
      <c r="E22" s="38"/>
      <c r="F22" s="54">
        <f>SUM(F18:F21)</f>
        <v>44629803</v>
      </c>
      <c r="G22" s="54">
        <f t="shared" ref="G22:AJ22" si="20">SUM(G18:G21)</f>
        <v>0</v>
      </c>
      <c r="H22" s="54">
        <f t="shared" si="20"/>
        <v>86527074.233333334</v>
      </c>
      <c r="I22" s="54">
        <f t="shared" si="20"/>
        <v>86527074.233333334</v>
      </c>
      <c r="J22" s="54">
        <f t="shared" si="20"/>
        <v>86527074.233333334</v>
      </c>
      <c r="K22" s="54">
        <f t="shared" si="20"/>
        <v>0</v>
      </c>
      <c r="L22" s="54">
        <f t="shared" si="20"/>
        <v>0</v>
      </c>
      <c r="M22" s="54">
        <f t="shared" si="20"/>
        <v>0</v>
      </c>
      <c r="N22" s="54">
        <f t="shared" si="20"/>
        <v>0</v>
      </c>
      <c r="O22" s="54">
        <f t="shared" si="20"/>
        <v>0</v>
      </c>
      <c r="P22" s="54">
        <f t="shared" si="20"/>
        <v>0</v>
      </c>
      <c r="Q22" s="54">
        <f t="shared" si="20"/>
        <v>0</v>
      </c>
      <c r="R22" s="54">
        <f t="shared" si="20"/>
        <v>0</v>
      </c>
      <c r="S22" s="54">
        <f t="shared" si="20"/>
        <v>0</v>
      </c>
      <c r="T22" s="54">
        <f t="shared" si="20"/>
        <v>0</v>
      </c>
      <c r="U22" s="54">
        <f t="shared" si="20"/>
        <v>0</v>
      </c>
      <c r="V22" s="54">
        <f t="shared" si="20"/>
        <v>0</v>
      </c>
      <c r="W22" s="54">
        <f t="shared" si="20"/>
        <v>0</v>
      </c>
      <c r="X22" s="54">
        <f t="shared" si="20"/>
        <v>0</v>
      </c>
      <c r="Y22" s="54">
        <f t="shared" si="20"/>
        <v>0</v>
      </c>
      <c r="Z22" s="54">
        <f t="shared" si="20"/>
        <v>0</v>
      </c>
      <c r="AA22" s="54">
        <f t="shared" si="20"/>
        <v>0</v>
      </c>
      <c r="AB22" s="54">
        <f t="shared" si="20"/>
        <v>0</v>
      </c>
      <c r="AC22" s="54">
        <f t="shared" si="20"/>
        <v>0</v>
      </c>
      <c r="AD22" s="54">
        <f t="shared" si="20"/>
        <v>0</v>
      </c>
      <c r="AE22" s="54">
        <f t="shared" si="20"/>
        <v>0</v>
      </c>
      <c r="AF22" s="54">
        <f t="shared" si="20"/>
        <v>0</v>
      </c>
      <c r="AG22" s="54">
        <f t="shared" si="20"/>
        <v>0</v>
      </c>
      <c r="AH22" s="54">
        <f t="shared" si="20"/>
        <v>0</v>
      </c>
      <c r="AI22" s="54">
        <f t="shared" si="20"/>
        <v>0</v>
      </c>
      <c r="AJ22" s="54">
        <f t="shared" si="20"/>
        <v>0</v>
      </c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</row>
    <row r="23" spans="1:138" s="92" customFormat="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</row>
    <row r="24" spans="1:138" s="92" customFormat="1">
      <c r="A24"/>
      <c r="B24" s="206" t="s">
        <v>411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 s="177"/>
      <c r="AL24" s="177"/>
      <c r="AM24" s="177"/>
      <c r="AN24" s="177"/>
      <c r="AO24" s="177"/>
      <c r="AP24" s="177"/>
      <c r="AQ24" s="177"/>
    </row>
    <row r="25" spans="1:138">
      <c r="B25" t="s">
        <v>627</v>
      </c>
      <c r="F25" s="168">
        <f>IF(F13&gt;='Phase I - Summary'!$D$23,'Phase I - CF MF Market Rental'!C53,0)</f>
        <v>0</v>
      </c>
      <c r="G25" s="168">
        <f>IF(G13&gt;='Phase I - Summary'!$D$23,'Phase I - CF MF Market Rental'!D53,0)</f>
        <v>0</v>
      </c>
      <c r="H25" s="168">
        <f>IF(H13&gt;='Phase I - Summary'!$D$23,'Phase I - CF MF Market Rental'!E53,0)</f>
        <v>0</v>
      </c>
      <c r="I25" s="168">
        <f>IF(I13&gt;='Phase I - Summary'!$D$23,'Phase I - CF MF Market Rental'!F53,0)</f>
        <v>0</v>
      </c>
      <c r="J25" s="168">
        <f>IF(J13&gt;='Phase I - Summary'!$D$23,'Phase I - CF MF Market Rental'!G53,0)</f>
        <v>0</v>
      </c>
      <c r="K25" s="168">
        <f>IF(K13&gt;='Phase I - Summary'!$D$23,'Phase I - CF MF Market Rental'!H53,0)</f>
        <v>2867619</v>
      </c>
      <c r="L25" s="168">
        <f>IF(L13&gt;='Phase I - Summary'!$D$23,'Phase I - CF MF Market Rental'!I53,0)</f>
        <v>6776721.8999999994</v>
      </c>
      <c r="M25" s="168">
        <f>IF(M13&gt;='Phase I - Summary'!$D$23,'Phase I - CF MF Market Rental'!J53,0)</f>
        <v>6946139.9474999988</v>
      </c>
      <c r="N25" s="168">
        <f>IF(N13&gt;='Phase I - Summary'!$D$23,'Phase I - CF MF Market Rental'!K53,0)</f>
        <v>7119793.446187498</v>
      </c>
      <c r="O25" s="168">
        <f>IF(O13&gt;='Phase I - Summary'!$D$23,'Phase I - CF MF Market Rental'!L53,0)</f>
        <v>7297788.2823421862</v>
      </c>
      <c r="P25" s="168">
        <f>IF(P13&gt;='Phase I - Summary'!$D$23,'Phase I - CF MF Market Rental'!M53,0)</f>
        <v>7480232.9894007389</v>
      </c>
      <c r="Q25" s="168">
        <f>IF(Q13&gt;='Phase I - Summary'!$D$23,'Phase I - CF MF Market Rental'!N53,0)</f>
        <v>7667238.8141357573</v>
      </c>
      <c r="R25" s="168">
        <f>IF(R13&gt;='Phase I - Summary'!$D$23,'Phase I - CF MF Market Rental'!O53,0)</f>
        <v>7858919.7844891511</v>
      </c>
      <c r="S25" s="168">
        <f>IF(S13&gt;='Phase I - Summary'!$D$23,'Phase I - CF MF Market Rental'!P53,0)</f>
        <v>8055392.7791013783</v>
      </c>
      <c r="T25" s="168">
        <f>IF(T13&gt;='Phase I - Summary'!$D$23,'Phase I - CF MF Market Rental'!Q53,0)</f>
        <v>8256777.5985789122</v>
      </c>
      <c r="U25" s="168">
        <f>IF(U13&gt;='Phase I - Summary'!$D$23,'Phase I - CF MF Market Rental'!R53,0)</f>
        <v>8463197.0385433882</v>
      </c>
      <c r="V25" s="168">
        <f>IF(V13&gt;='Phase I - Summary'!$D$23,'Phase I - CF MF Market Rental'!S53,0)</f>
        <v>8674776.9645069707</v>
      </c>
      <c r="W25" s="168">
        <f>IF(W13&gt;='Phase I - Summary'!$D$23,'Phase I - CF MF Market Rental'!T53,0)</f>
        <v>8891646.3886196427</v>
      </c>
      <c r="X25" s="168">
        <f>IF(X13&gt;='Phase I - Summary'!$D$23,'Phase I - CF MF Market Rental'!U53,0)</f>
        <v>9113937.5483351331</v>
      </c>
      <c r="Y25" s="168">
        <f>IF(Y13&gt;='Phase I - Summary'!$D$23,'Phase I - CF MF Market Rental'!V53,0)</f>
        <v>9341785.9870435111</v>
      </c>
      <c r="Z25" s="168">
        <f>IF(Z13&gt;='Phase I - Summary'!$D$23,'Phase I - CF MF Market Rental'!W53,0)</f>
        <v>9575330.6367196012</v>
      </c>
      <c r="AA25" s="168">
        <f>IF(AA13&gt;='Phase I - Summary'!$D$23,'Phase I - CF MF Market Rental'!X53,0)</f>
        <v>9814713.9026375897</v>
      </c>
      <c r="AB25" s="168">
        <f>IF(AB13&gt;='Phase I - Summary'!$D$23,'Phase I - CF MF Market Rental'!Y53,0)</f>
        <v>10060081.750203528</v>
      </c>
      <c r="AC25" s="168">
        <f>IF(AC13&gt;='Phase I - Summary'!$D$23,'Phase I - CF MF Market Rental'!Z53,0)</f>
        <v>10311583.793958617</v>
      </c>
      <c r="AD25" s="168">
        <f>IF(AD13&gt;='Phase I - Summary'!$D$23,'Phase I - CF MF Market Rental'!AA53,0)</f>
        <v>10569373.388807584</v>
      </c>
      <c r="AE25" s="168">
        <f>IF(AE13&gt;='Phase I - Summary'!$D$23,'Phase I - CF MF Market Rental'!AB53,0)</f>
        <v>10833607.72352777</v>
      </c>
      <c r="AF25" s="168">
        <f>IF(AF13&gt;='Phase I - Summary'!$D$23,'Phase I - CF MF Market Rental'!AC53,0)</f>
        <v>11104447.916615963</v>
      </c>
      <c r="AG25" s="168">
        <f>IF(AG13&gt;='Phase I - Summary'!$D$23,'Phase I - CF MF Market Rental'!AD53,0)</f>
        <v>11382059.114531362</v>
      </c>
      <c r="AH25" s="168">
        <f>IF(AH13&gt;='Phase I - Summary'!$D$23,'Phase I - CF MF Market Rental'!AE53,0)</f>
        <v>11666610.592394646</v>
      </c>
      <c r="AI25" s="168">
        <f>IF(AI13&gt;='Phase I - Summary'!$D$23,'Phase I - CF MF Market Rental'!AF53,0)</f>
        <v>11958275.857204512</v>
      </c>
      <c r="AJ25" s="168">
        <f>IF(AJ13&gt;='Phase I - Summary'!$D$23,'Phase I - CF MF Market Rental'!AG53,0)</f>
        <v>12257232.753634624</v>
      </c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170"/>
      <c r="BL25" s="170"/>
      <c r="BM25" s="170"/>
      <c r="BN25" s="170"/>
      <c r="BO25" s="170"/>
      <c r="BP25" s="170"/>
      <c r="BQ25" s="170"/>
      <c r="BR25" s="170"/>
      <c r="BS25" s="170"/>
      <c r="BT25" s="170"/>
      <c r="BU25" s="170"/>
      <c r="BV25" s="170"/>
      <c r="BW25" s="170"/>
      <c r="BX25" s="170"/>
      <c r="BY25" s="170"/>
      <c r="BZ25" s="170"/>
      <c r="CA25" s="170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170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  <c r="EE25" s="170"/>
      <c r="EF25" s="170"/>
      <c r="EG25" s="170"/>
      <c r="EH25" s="170"/>
    </row>
    <row r="26" spans="1:138">
      <c r="A26" s="167"/>
      <c r="B26" s="197" t="s">
        <v>653</v>
      </c>
      <c r="C26" s="167"/>
      <c r="D26" s="167"/>
      <c r="E26" s="167"/>
      <c r="F26" s="168">
        <f>IF(F13&gt;='Phase I - Summary'!$D$23,'Phase I - CF Affordable Rental'!C52,0)</f>
        <v>0</v>
      </c>
      <c r="G26" s="168">
        <f>IF(G13&gt;='Phase I - Summary'!$D$23,'Phase I - CF Affordable Rental'!D52,0)</f>
        <v>0</v>
      </c>
      <c r="H26" s="168">
        <f>IF(H13&gt;='Phase I - Summary'!$D$23,'Phase I - CF Affordable Rental'!E52,0)</f>
        <v>0</v>
      </c>
      <c r="I26" s="168">
        <f>IF(I13&gt;='Phase I - Summary'!$D$23,'Phase I - CF Affordable Rental'!F52,0)</f>
        <v>0</v>
      </c>
      <c r="J26" s="168">
        <f>IF(J13&gt;='Phase I - Summary'!$D$23,'Phase I - CF Affordable Rental'!G52,0)</f>
        <v>0</v>
      </c>
      <c r="K26" s="168">
        <f>IF(K13&gt;='Phase I - Summary'!$D$23,'Phase I - CF Affordable Rental'!H52,0)</f>
        <v>1270456.5</v>
      </c>
      <c r="L26" s="168">
        <f>IF(L13&gt;='Phase I - Summary'!$D$23,'Phase I - CF Affordable Rental'!I52,0)</f>
        <v>1409272.4999999998</v>
      </c>
      <c r="M26" s="168">
        <f>IF(M13&gt;='Phase I - Summary'!$D$23,'Phase I - CF Affordable Rental'!J52,0)</f>
        <v>1444504.3125</v>
      </c>
      <c r="N26" s="168">
        <f>IF(N13&gt;='Phase I - Summary'!$D$23,'Phase I - CF Affordable Rental'!K52,0)</f>
        <v>1480616.9203124996</v>
      </c>
      <c r="O26" s="168">
        <f>IF(O13&gt;='Phase I - Summary'!$D$23,'Phase I - CF Affordable Rental'!L52,0)</f>
        <v>1517632.3433203122</v>
      </c>
      <c r="P26" s="168">
        <f>IF(P13&gt;='Phase I - Summary'!$D$23,'Phase I - CF Affordable Rental'!M52,0)</f>
        <v>1555573.1519033196</v>
      </c>
      <c r="Q26" s="168">
        <f>IF(Q13&gt;='Phase I - Summary'!$D$23,'Phase I - CF Affordable Rental'!N52,0)</f>
        <v>1594462.4807009026</v>
      </c>
      <c r="R26" s="168">
        <f>IF(R13&gt;='Phase I - Summary'!$D$23,'Phase I - CF Affordable Rental'!O52,0)</f>
        <v>1634324.0427184252</v>
      </c>
      <c r="S26" s="168">
        <f>IF(S13&gt;='Phase I - Summary'!$D$23,'Phase I - CF Affordable Rental'!P52,0)</f>
        <v>1675182.1437863857</v>
      </c>
      <c r="T26" s="168">
        <f>IF(T13&gt;='Phase I - Summary'!$D$23,'Phase I - CF Affordable Rental'!Q52,0)</f>
        <v>1717061.6973810452</v>
      </c>
      <c r="U26" s="168">
        <f>IF(U13&gt;='Phase I - Summary'!$D$23,'Phase I - CF Affordable Rental'!R52,0)</f>
        <v>1759988.2398155713</v>
      </c>
      <c r="V26" s="168">
        <f>IF(V13&gt;='Phase I - Summary'!$D$23,'Phase I - CF Affordable Rental'!S52,0)</f>
        <v>1803987.9458109606</v>
      </c>
      <c r="W26" s="168">
        <f>IF(W13&gt;='Phase I - Summary'!$D$23,'Phase I - CF Affordable Rental'!T52,0)</f>
        <v>1849087.6444562343</v>
      </c>
      <c r="X26" s="168">
        <f>IF(X13&gt;='Phase I - Summary'!$D$23,'Phase I - CF Affordable Rental'!U52,0)</f>
        <v>1895314.8355676401</v>
      </c>
      <c r="Y26" s="168">
        <f>IF(Y13&gt;='Phase I - Summary'!$D$23,'Phase I - CF Affordable Rental'!V52,0)</f>
        <v>1942697.706456831</v>
      </c>
      <c r="Z26" s="168">
        <f>IF(Z13&gt;='Phase I - Summary'!$D$23,'Phase I - CF Affordable Rental'!W52,0)</f>
        <v>1991265.1491182519</v>
      </c>
      <c r="AA26" s="168">
        <f>IF(AA13&gt;='Phase I - Summary'!$D$23,'Phase I - CF Affordable Rental'!X52,0)</f>
        <v>2041046.7778462083</v>
      </c>
      <c r="AB26" s="168">
        <f>IF(AB13&gt;='Phase I - Summary'!$D$23,'Phase I - CF Affordable Rental'!Y52,0)</f>
        <v>2092072.9472923628</v>
      </c>
      <c r="AC26" s="168">
        <f>IF(AC13&gt;='Phase I - Summary'!$D$23,'Phase I - CF Affordable Rental'!Z52,0)</f>
        <v>2144374.7709746724</v>
      </c>
      <c r="AD26" s="168">
        <f>IF(AD13&gt;='Phase I - Summary'!$D$23,'Phase I - CF Affordable Rental'!AA52,0)</f>
        <v>2197984.140249039</v>
      </c>
      <c r="AE26" s="168">
        <f>IF(AE13&gt;='Phase I - Summary'!$D$23,'Phase I - CF Affordable Rental'!AB52,0)</f>
        <v>2252933.7437552651</v>
      </c>
      <c r="AF26" s="168">
        <f>IF(AF13&gt;='Phase I - Summary'!$D$23,'Phase I - CF Affordable Rental'!AC52,0)</f>
        <v>2309257.0873491461</v>
      </c>
      <c r="AG26" s="168">
        <f>IF(AG13&gt;='Phase I - Summary'!$D$23,'Phase I - CF Affordable Rental'!AD52,0)</f>
        <v>2366988.5145328743</v>
      </c>
      <c r="AH26" s="168">
        <f>IF(AH13&gt;='Phase I - Summary'!$D$23,'Phase I - CF Affordable Rental'!AE52,0)</f>
        <v>2426163.2273961962</v>
      </c>
      <c r="AI26" s="168">
        <f>IF(AI13&gt;='Phase I - Summary'!$D$23,'Phase I - CF Affordable Rental'!AF52,0)</f>
        <v>2486817.3080811016</v>
      </c>
      <c r="AJ26" s="168">
        <f>IF(AJ13&gt;='Phase I - Summary'!$D$23,'Phase I - CF Affordable Rental'!AG52,0)</f>
        <v>2548987.7407831284</v>
      </c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 s="170"/>
      <c r="CC26" s="170"/>
      <c r="CD26" s="170"/>
      <c r="CE26" s="170"/>
      <c r="CF26" s="170"/>
      <c r="CG26" s="170"/>
      <c r="CH26" s="170"/>
      <c r="CI26" s="170"/>
      <c r="CJ26" s="170"/>
      <c r="CK26" s="170"/>
      <c r="CL26" s="170"/>
      <c r="CM26" s="170"/>
      <c r="CN26" s="170"/>
      <c r="CO26" s="170"/>
      <c r="CP26" s="170"/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0"/>
      <c r="DB26" s="170"/>
      <c r="DC26" s="170"/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0"/>
      <c r="DO26" s="170"/>
      <c r="DP26" s="170"/>
      <c r="DQ26" s="170"/>
      <c r="DR26" s="170"/>
      <c r="DS26" s="170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  <c r="EE26" s="170"/>
      <c r="EF26" s="170"/>
      <c r="EG26" s="170"/>
      <c r="EH26" s="170"/>
    </row>
    <row r="27" spans="1:138" ht="14.4">
      <c r="B27" t="s">
        <v>628</v>
      </c>
      <c r="C27" s="5"/>
      <c r="D27" s="5"/>
      <c r="E27" s="5"/>
      <c r="F27" s="168">
        <f>IF(F13&gt;='Phase I - Summary'!$D$23,'Phase I - CF Commercial'!C43,0)</f>
        <v>0</v>
      </c>
      <c r="G27" s="168">
        <f>IF(G13&gt;='Phase I - Summary'!$D$23,'Phase I - CF Commercial'!D43,0)</f>
        <v>0</v>
      </c>
      <c r="H27" s="168">
        <f>IF(H13&gt;='Phase I - Summary'!$D$23,'Phase I - CF Commercial'!E43,0)</f>
        <v>0</v>
      </c>
      <c r="I27" s="168">
        <f>IF(I13&gt;='Phase I - Summary'!$D$23,'Phase I - CF Commercial'!F43,0)</f>
        <v>0</v>
      </c>
      <c r="J27" s="168">
        <f>IF(J13&gt;='Phase I - Summary'!$D$23,'Phase I - CF Commercial'!G43,0)</f>
        <v>0</v>
      </c>
      <c r="K27" s="168">
        <f>IF(K13&gt;='Phase I - Summary'!$D$23,'Phase I - CF Commercial'!H43,0)</f>
        <v>12172166.991</v>
      </c>
      <c r="L27" s="168">
        <f>IF(L13&gt;='Phase I - Summary'!$D$23,'Phase I - CF Commercial'!I43,0)</f>
        <v>12537332.00073</v>
      </c>
      <c r="M27" s="168">
        <f>IF(M13&gt;='Phase I - Summary'!$D$23,'Phase I - CF Commercial'!J43,0)</f>
        <v>12913451.9607519</v>
      </c>
      <c r="N27" s="168">
        <f>IF(N13&gt;='Phase I - Summary'!$D$23,'Phase I - CF Commercial'!K43,0)</f>
        <v>13300855.519574458</v>
      </c>
      <c r="O27" s="168">
        <f>IF(O13&gt;='Phase I - Summary'!$D$23,'Phase I - CF Commercial'!L43,0)</f>
        <v>13699881.185161689</v>
      </c>
      <c r="P27" s="168">
        <f>IF(P13&gt;='Phase I - Summary'!$D$23,'Phase I - CF Commercial'!M43,0)</f>
        <v>14110877.62071654</v>
      </c>
      <c r="Q27" s="168">
        <f>IF(Q13&gt;='Phase I - Summary'!$D$23,'Phase I - CF Commercial'!N43,0)</f>
        <v>14534203.949338038</v>
      </c>
      <c r="R27" s="168">
        <f>IF(R13&gt;='Phase I - Summary'!$D$23,'Phase I - CF Commercial'!O43,0)</f>
        <v>14970230.06781818</v>
      </c>
      <c r="S27" s="168">
        <f>IF(S13&gt;='Phase I - Summary'!$D$23,'Phase I - CF Commercial'!P43,0)</f>
        <v>15419336.969852723</v>
      </c>
      <c r="T27" s="168">
        <f>IF(T13&gt;='Phase I - Summary'!$D$23,'Phase I - CF Commercial'!Q43,0)</f>
        <v>15881917.078948304</v>
      </c>
      <c r="U27" s="168">
        <f>IF(U13&gt;='Phase I - Summary'!$D$23,'Phase I - CF Commercial'!R43,0)</f>
        <v>16358374.591316752</v>
      </c>
      <c r="V27" s="168">
        <f>IF(V13&gt;='Phase I - Summary'!$D$23,'Phase I - CF Commercial'!S43,0)</f>
        <v>16849125.829056256</v>
      </c>
      <c r="W27" s="168">
        <f>IF(W13&gt;='Phase I - Summary'!$D$23,'Phase I - CF Commercial'!T43,0)</f>
        <v>17354599.60392794</v>
      </c>
      <c r="X27" s="168">
        <f>IF(X13&gt;='Phase I - Summary'!$D$23,'Phase I - CF Commercial'!U43,0)</f>
        <v>17875237.59204578</v>
      </c>
      <c r="Y27" s="168">
        <f>IF(Y13&gt;='Phase I - Summary'!$D$23,'Phase I - CF Commercial'!V43,0)</f>
        <v>18411494.719807155</v>
      </c>
      <c r="Z27" s="168">
        <f>IF(Z13&gt;='Phase I - Summary'!$D$23,'Phase I - CF Commercial'!W43,0)</f>
        <v>18963839.561401371</v>
      </c>
      <c r="AA27" s="168">
        <f>IF(AA13&gt;='Phase I - Summary'!$D$23,'Phase I - CF Commercial'!X43,0)</f>
        <v>19532754.748243406</v>
      </c>
      <c r="AB27" s="168">
        <f>IF(AB13&gt;='Phase I - Summary'!$D$23,'Phase I - CF Commercial'!Y43,0)</f>
        <v>20118737.39069071</v>
      </c>
      <c r="AC27" s="168">
        <f>IF(AC13&gt;='Phase I - Summary'!$D$23,'Phase I - CF Commercial'!Z43,0)</f>
        <v>20722299.51241143</v>
      </c>
      <c r="AD27" s="168">
        <f>IF(AD13&gt;='Phase I - Summary'!$D$23,'Phase I - CF Commercial'!AA43,0)</f>
        <v>21343968.497783776</v>
      </c>
      <c r="AE27" s="168">
        <f>IF(AE13&gt;='Phase I - Summary'!$D$23,'Phase I - CF Commercial'!AB43,0)</f>
        <v>21984287.552717287</v>
      </c>
      <c r="AF27" s="168">
        <f>IF(AF13&gt;='Phase I - Summary'!$D$23,'Phase I - CF Commercial'!AC43,0)</f>
        <v>22643816.179298803</v>
      </c>
      <c r="AG27" s="168">
        <f>IF(AG13&gt;='Phase I - Summary'!$D$23,'Phase I - CF Commercial'!AD43,0)</f>
        <v>23323130.664677769</v>
      </c>
      <c r="AH27" s="168">
        <f>IF(AH13&gt;='Phase I - Summary'!$D$23,'Phase I - CF Commercial'!AE43,0)</f>
        <v>24022824.584618103</v>
      </c>
      <c r="AI27" s="168">
        <f>IF(AI13&gt;='Phase I - Summary'!$D$23,'Phase I - CF Commercial'!AF43,0)</f>
        <v>24743509.322156645</v>
      </c>
      <c r="AJ27" s="168">
        <f>IF(AJ13&gt;='Phase I - Summary'!$D$23,'Phase I - CF Commercial'!AG43,0)</f>
        <v>25485814.601821344</v>
      </c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178"/>
      <c r="DH27" s="178"/>
      <c r="DI27" s="178"/>
      <c r="DJ27" s="178"/>
      <c r="DK27" s="178"/>
      <c r="DL27" s="178"/>
      <c r="DM27" s="178"/>
      <c r="DN27" s="178"/>
      <c r="DO27" s="178"/>
      <c r="DP27" s="178"/>
      <c r="DQ27" s="178"/>
      <c r="DR27" s="178"/>
      <c r="DS27" s="178"/>
      <c r="DT27" s="178"/>
      <c r="DU27" s="178"/>
      <c r="DV27" s="178"/>
      <c r="DW27" s="178"/>
      <c r="DX27" s="178"/>
      <c r="DY27" s="178"/>
      <c r="DZ27" s="178"/>
      <c r="EA27" s="178"/>
      <c r="EB27" s="178"/>
      <c r="EC27" s="178"/>
      <c r="ED27" s="178"/>
      <c r="EE27" s="178"/>
      <c r="EF27" s="178"/>
      <c r="EG27" s="178"/>
      <c r="EH27" s="178"/>
    </row>
    <row r="28" spans="1:138" ht="14.4">
      <c r="B28" t="s">
        <v>26</v>
      </c>
      <c r="C28" s="5"/>
      <c r="D28" s="5"/>
      <c r="E28" s="5"/>
      <c r="F28" s="168">
        <f>IF(F13&gt;='Phase I - Summary'!$D$23,'Phase I - CF Hotel'!C42,0)</f>
        <v>0</v>
      </c>
      <c r="G28" s="168">
        <f>IF(G13&gt;='Phase I - Summary'!$D$23,'Phase I - CF Hotel'!D42,0)</f>
        <v>0</v>
      </c>
      <c r="H28" s="168">
        <f>IF(H13&gt;='Phase I - Summary'!$D$23,'Phase I - CF Hotel'!E42,0)</f>
        <v>0</v>
      </c>
      <c r="I28" s="168">
        <f>IF(I13&gt;='Phase I - Summary'!$D$23,'Phase I - CF Hotel'!F42,0)</f>
        <v>0</v>
      </c>
      <c r="J28" s="168">
        <f>IF(J13&gt;='Phase I - Summary'!$D$23,'Phase I - CF Hotel'!G42,0)</f>
        <v>0</v>
      </c>
      <c r="K28" s="168">
        <f>IF(K13&gt;='Phase I - Summary'!$D$23,'Phase I - CF Hotel'!H42,0)</f>
        <v>0</v>
      </c>
      <c r="L28" s="168">
        <f>IF(L13&gt;='Phase I - Summary'!$D$23,'Phase I - CF Hotel'!I42,0)</f>
        <v>0</v>
      </c>
      <c r="M28" s="168">
        <f>IF(M13&gt;='Phase I - Summary'!$D$23,'Phase I - CF Hotel'!J42,0)</f>
        <v>0</v>
      </c>
      <c r="N28" s="168">
        <f>IF(N13&gt;='Phase I - Summary'!$D$23,'Phase I - CF Hotel'!K42,0)</f>
        <v>0</v>
      </c>
      <c r="O28" s="168">
        <f>IF(O13&gt;='Phase I - Summary'!$D$23,'Phase I - CF Hotel'!L42,0)</f>
        <v>0</v>
      </c>
      <c r="P28" s="168">
        <f>IF(P13&gt;='Phase I - Summary'!$D$23,'Phase I - CF Hotel'!M42,0)</f>
        <v>0</v>
      </c>
      <c r="Q28" s="168">
        <f>IF(Q13&gt;='Phase I - Summary'!$D$23,'Phase I - CF Hotel'!N42,0)</f>
        <v>0</v>
      </c>
      <c r="R28" s="168">
        <f>IF(R13&gt;='Phase I - Summary'!$D$23,'Phase I - CF Hotel'!O42,0)</f>
        <v>0</v>
      </c>
      <c r="S28" s="168">
        <f>IF(S13&gt;='Phase I - Summary'!$D$23,'Phase I - CF Hotel'!P42,0)</f>
        <v>0</v>
      </c>
      <c r="T28" s="168">
        <f>IF(T13&gt;='Phase I - Summary'!$D$23,'Phase I - CF Hotel'!Q42,0)</f>
        <v>0</v>
      </c>
      <c r="U28" s="168">
        <f>IF(U13&gt;='Phase I - Summary'!$D$23,'Phase I - CF Hotel'!R42,0)</f>
        <v>0</v>
      </c>
      <c r="V28" s="168">
        <f>IF(V13&gt;='Phase I - Summary'!$D$23,'Phase I - CF Hotel'!S42,0)</f>
        <v>0</v>
      </c>
      <c r="W28" s="168">
        <f>IF(W13&gt;='Phase I - Summary'!$D$23,'Phase I - CF Hotel'!T42,0)</f>
        <v>0</v>
      </c>
      <c r="X28" s="168">
        <f>IF(X13&gt;='Phase I - Summary'!$D$23,'Phase I - CF Hotel'!U42,0)</f>
        <v>0</v>
      </c>
      <c r="Y28" s="168">
        <f>IF(Y13&gt;='Phase I - Summary'!$D$23,'Phase I - CF Hotel'!V42,0)</f>
        <v>0</v>
      </c>
      <c r="Z28" s="168">
        <f>IF(Z13&gt;='Phase I - Summary'!$D$23,'Phase I - CF Hotel'!W42,0)</f>
        <v>0</v>
      </c>
      <c r="AA28" s="168">
        <f>IF(AA13&gt;='Phase I - Summary'!$D$23,'Phase I - CF Hotel'!X42,0)</f>
        <v>0</v>
      </c>
      <c r="AB28" s="168">
        <f>IF(AB13&gt;='Phase I - Summary'!$D$23,'Phase I - CF Hotel'!Y42,0)</f>
        <v>0</v>
      </c>
      <c r="AC28" s="168">
        <f>IF(AC13&gt;='Phase I - Summary'!$D$23,'Phase I - CF Hotel'!Z42,0)</f>
        <v>0</v>
      </c>
      <c r="AD28" s="168">
        <f>IF(AD13&gt;='Phase I - Summary'!$D$23,'Phase I - CF Hotel'!AA42,0)</f>
        <v>0</v>
      </c>
      <c r="AE28" s="168">
        <f>IF(AE13&gt;='Phase I - Summary'!$D$23,'Phase I - CF Hotel'!AB42,0)</f>
        <v>0</v>
      </c>
      <c r="AF28" s="168">
        <f>IF(AF13&gt;='Phase I - Summary'!$D$23,'Phase I - CF Hotel'!AC42,0)</f>
        <v>0</v>
      </c>
      <c r="AG28" s="168">
        <f>IF(AG13&gt;='Phase I - Summary'!$D$23,'Phase I - CF Hotel'!AD42,0)</f>
        <v>0</v>
      </c>
      <c r="AH28" s="168">
        <f>IF(AH13&gt;='Phase I - Summary'!$D$23,'Phase I - CF Hotel'!AE42,0)</f>
        <v>0</v>
      </c>
      <c r="AI28" s="168">
        <f>IF(AI13&gt;='Phase I - Summary'!$D$23,'Phase I - CF Hotel'!AF42,0)</f>
        <v>0</v>
      </c>
      <c r="AJ28" s="168">
        <f>IF(AJ13&gt;='Phase I - Summary'!$D$23,'Phase I - CF Hotel'!AG42,0)</f>
        <v>0</v>
      </c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178"/>
      <c r="DH28" s="178"/>
      <c r="DI28" s="178"/>
      <c r="DJ28" s="178"/>
      <c r="DK28" s="178"/>
      <c r="DL28" s="178"/>
      <c r="DM28" s="178"/>
      <c r="DN28" s="178"/>
      <c r="DO28" s="178"/>
      <c r="DP28" s="178"/>
      <c r="DQ28" s="178"/>
      <c r="DR28" s="178"/>
      <c r="DS28" s="178"/>
      <c r="DT28" s="178"/>
      <c r="DU28" s="178"/>
      <c r="DV28" s="178"/>
      <c r="DW28" s="178"/>
      <c r="DX28" s="178"/>
      <c r="DY28" s="178"/>
      <c r="DZ28" s="178"/>
      <c r="EA28" s="178"/>
      <c r="EB28" s="178"/>
      <c r="EC28" s="178"/>
      <c r="ED28" s="178"/>
      <c r="EE28" s="178"/>
      <c r="EF28" s="178"/>
      <c r="EG28" s="178"/>
      <c r="EH28" s="178"/>
    </row>
    <row r="29" spans="1:138">
      <c r="B29" t="s">
        <v>25</v>
      </c>
      <c r="F29" s="168">
        <f>IF(F13&gt;='Phase I - Summary'!$D$23,'Phase I - CF Retail'!C45,0)</f>
        <v>0</v>
      </c>
      <c r="G29" s="168">
        <f>IF(G13&gt;='Phase I - Summary'!$D$23,'Phase I - CF Retail'!D45,0)</f>
        <v>0</v>
      </c>
      <c r="H29" s="168">
        <f>IF(H13&gt;='Phase I - Summary'!$D$23,'Phase I - CF Retail'!E45,0)</f>
        <v>0</v>
      </c>
      <c r="I29" s="168">
        <f>IF(I13&gt;='Phase I - Summary'!$D$23,'Phase I - CF Retail'!F45,0)</f>
        <v>0</v>
      </c>
      <c r="J29" s="168">
        <f>IF(J13&gt;='Phase I - Summary'!$D$23,'Phase I - CF Retail'!G45,0)</f>
        <v>0</v>
      </c>
      <c r="K29" s="168">
        <f>IF(K13&gt;='Phase I - Summary'!$D$23,'Phase I - CF Retail'!H45,0)</f>
        <v>4359870.108</v>
      </c>
      <c r="L29" s="168">
        <f>IF(L13&gt;='Phase I - Summary'!$D$23,'Phase I - CF Retail'!I45,0)</f>
        <v>4490666.211240001</v>
      </c>
      <c r="M29" s="168">
        <f>IF(M13&gt;='Phase I - Summary'!$D$23,'Phase I - CF Retail'!J45,0)</f>
        <v>4625386.1975771999</v>
      </c>
      <c r="N29" s="168">
        <f>IF(N13&gt;='Phase I - Summary'!$D$23,'Phase I - CF Retail'!K45,0)</f>
        <v>4764147.7835045168</v>
      </c>
      <c r="O29" s="168">
        <f>IF(O13&gt;='Phase I - Summary'!$D$23,'Phase I - CF Retail'!L45,0)</f>
        <v>4907072.2170096515</v>
      </c>
      <c r="P29" s="168">
        <f>IF(P13&gt;='Phase I - Summary'!$D$23,'Phase I - CF Retail'!M45,0)</f>
        <v>5054284.383519941</v>
      </c>
      <c r="Q29" s="168">
        <f>IF(Q13&gt;='Phase I - Summary'!$D$23,'Phase I - CF Retail'!N45,0)</f>
        <v>5205912.9150255397</v>
      </c>
      <c r="R29" s="168">
        <f>IF(R13&gt;='Phase I - Summary'!$D$23,'Phase I - CF Retail'!O45,0)</f>
        <v>5362090.3024763055</v>
      </c>
      <c r="S29" s="168">
        <f>IF(S13&gt;='Phase I - Summary'!$D$23,'Phase I - CF Retail'!P45,0)</f>
        <v>5522953.0115505941</v>
      </c>
      <c r="T29" s="168">
        <f>IF(T13&gt;='Phase I - Summary'!$D$23,'Phase I - CF Retail'!Q45,0)</f>
        <v>5688641.6018971121</v>
      </c>
      <c r="U29" s="168">
        <f>IF(U13&gt;='Phase I - Summary'!$D$23,'Phase I - CF Retail'!R45,0)</f>
        <v>5859300.8499540258</v>
      </c>
      <c r="V29" s="168">
        <f>IF(V13&gt;='Phase I - Summary'!$D$23,'Phase I - CF Retail'!S45,0)</f>
        <v>6035079.875452647</v>
      </c>
      <c r="W29" s="168">
        <f>IF(W13&gt;='Phase I - Summary'!$D$23,'Phase I - CF Retail'!T45,0)</f>
        <v>6216132.271716225</v>
      </c>
      <c r="X29" s="168">
        <f>IF(X13&gt;='Phase I - Summary'!$D$23,'Phase I - CF Retail'!U45,0)</f>
        <v>6402616.2398677114</v>
      </c>
      <c r="Y29" s="168">
        <f>IF(Y13&gt;='Phase I - Summary'!$D$23,'Phase I - CF Retail'!V45,0)</f>
        <v>6594694.7270637434</v>
      </c>
      <c r="Z29" s="168">
        <f>IF(Z13&gt;='Phase I - Summary'!$D$23,'Phase I - CF Retail'!W45,0)</f>
        <v>6792535.5688756565</v>
      </c>
      <c r="AA29" s="168">
        <f>IF(AA13&gt;='Phase I - Summary'!$D$23,'Phase I - CF Retail'!X45,0)</f>
        <v>6996311.6359419245</v>
      </c>
      <c r="AB29" s="168">
        <f>IF(AB13&gt;='Phase I - Summary'!$D$23,'Phase I - CF Retail'!Y45,0)</f>
        <v>7206200.9850201821</v>
      </c>
      <c r="AC29" s="168">
        <f>IF(AC13&gt;='Phase I - Summary'!$D$23,'Phase I - CF Retail'!Z45,0)</f>
        <v>7422387.0145707885</v>
      </c>
      <c r="AD29" s="168">
        <f>IF(AD13&gt;='Phase I - Summary'!$D$23,'Phase I - CF Retail'!AA45,0)</f>
        <v>7645058.6250079116</v>
      </c>
      <c r="AE29" s="168">
        <f>IF(AE13&gt;='Phase I - Summary'!$D$23,'Phase I - CF Retail'!AB45,0)</f>
        <v>7874410.3837581491</v>
      </c>
      <c r="AF29" s="168">
        <f>IF(AF13&gt;='Phase I - Summary'!$D$23,'Phase I - CF Retail'!AC45,0)</f>
        <v>8110642.6952708913</v>
      </c>
      <c r="AG29" s="168">
        <f>IF(AG13&gt;='Phase I - Summary'!$D$23,'Phase I - CF Retail'!AD45,0)</f>
        <v>8353961.9761290187</v>
      </c>
      <c r="AH29" s="168">
        <f>IF(AH13&gt;='Phase I - Summary'!$D$23,'Phase I - CF Retail'!AE45,0)</f>
        <v>8604580.8354128916</v>
      </c>
      <c r="AI29" s="168">
        <f>IF(AI13&gt;='Phase I - Summary'!$D$23,'Phase I - CF Retail'!AF45,0)</f>
        <v>8862718.260475276</v>
      </c>
      <c r="AJ29" s="168">
        <f>IF(AJ13&gt;='Phase I - Summary'!$D$23,'Phase I - CF Retail'!AG45,0)</f>
        <v>9128599.8082895335</v>
      </c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  <c r="EE29" s="170"/>
      <c r="EF29" s="170"/>
      <c r="EG29" s="170"/>
      <c r="EH29" s="170"/>
    </row>
    <row r="30" spans="1:138">
      <c r="B30" s="38" t="s">
        <v>630</v>
      </c>
      <c r="C30" s="38"/>
      <c r="D30" s="54">
        <f>SUM(F30:Q30)</f>
        <v>183104161.63145268</v>
      </c>
      <c r="E30" s="38"/>
      <c r="F30" s="171">
        <f>SUM(F25:F29)</f>
        <v>0</v>
      </c>
      <c r="G30" s="171">
        <f t="shared" ref="G30:AJ30" si="21">SUM(G25:G29)</f>
        <v>0</v>
      </c>
      <c r="H30" s="171">
        <f t="shared" si="21"/>
        <v>0</v>
      </c>
      <c r="I30" s="171">
        <f t="shared" si="21"/>
        <v>0</v>
      </c>
      <c r="J30" s="171">
        <f t="shared" si="21"/>
        <v>0</v>
      </c>
      <c r="K30" s="171">
        <f t="shared" si="21"/>
        <v>20670112.598999999</v>
      </c>
      <c r="L30" s="171">
        <f t="shared" si="21"/>
        <v>25213992.61197</v>
      </c>
      <c r="M30" s="171">
        <f t="shared" si="21"/>
        <v>25929482.418329097</v>
      </c>
      <c r="N30" s="171">
        <f t="shared" si="21"/>
        <v>26665413.669578969</v>
      </c>
      <c r="O30" s="171">
        <f t="shared" si="21"/>
        <v>27422374.027833838</v>
      </c>
      <c r="P30" s="171">
        <f t="shared" si="21"/>
        <v>28200968.145540539</v>
      </c>
      <c r="Q30" s="171">
        <f t="shared" si="21"/>
        <v>29001818.159200236</v>
      </c>
      <c r="R30" s="171">
        <f t="shared" si="21"/>
        <v>29825564.197502062</v>
      </c>
      <c r="S30" s="171">
        <f t="shared" si="21"/>
        <v>30672864.904291082</v>
      </c>
      <c r="T30" s="171">
        <f t="shared" si="21"/>
        <v>31544397.976805374</v>
      </c>
      <c r="U30" s="171">
        <f t="shared" si="21"/>
        <v>32440860.719629735</v>
      </c>
      <c r="V30" s="171">
        <f t="shared" si="21"/>
        <v>33362970.614826836</v>
      </c>
      <c r="W30" s="171">
        <f t="shared" si="21"/>
        <v>34311465.908720039</v>
      </c>
      <c r="X30" s="171">
        <f t="shared" si="21"/>
        <v>35287106.215816267</v>
      </c>
      <c r="Y30" s="171">
        <f t="shared" si="21"/>
        <v>36290673.140371241</v>
      </c>
      <c r="Z30" s="171">
        <f t="shared" si="21"/>
        <v>37322970.916114882</v>
      </c>
      <c r="AA30" s="171">
        <f t="shared" si="21"/>
        <v>38384827.064669125</v>
      </c>
      <c r="AB30" s="171">
        <f t="shared" si="21"/>
        <v>39477093.073206782</v>
      </c>
      <c r="AC30" s="171">
        <f t="shared" si="21"/>
        <v>40600645.091915511</v>
      </c>
      <c r="AD30" s="171">
        <f t="shared" si="21"/>
        <v>41756384.651848316</v>
      </c>
      <c r="AE30" s="171">
        <f t="shared" si="21"/>
        <v>42945239.403758474</v>
      </c>
      <c r="AF30" s="171">
        <f t="shared" si="21"/>
        <v>44168163.878534801</v>
      </c>
      <c r="AG30" s="171">
        <f t="shared" si="21"/>
        <v>45426140.269871019</v>
      </c>
      <c r="AH30" s="171">
        <f t="shared" si="21"/>
        <v>46720179.239821836</v>
      </c>
      <c r="AI30" s="171">
        <f t="shared" si="21"/>
        <v>48051320.747917533</v>
      </c>
      <c r="AJ30" s="171">
        <f t="shared" si="21"/>
        <v>49420634.904528633</v>
      </c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</row>
    <row r="31" spans="1:138">
      <c r="A31" s="167"/>
      <c r="B31" s="166"/>
      <c r="C31" s="167"/>
      <c r="D31" s="167"/>
      <c r="E31" s="167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  <c r="EE31" s="170"/>
      <c r="EF31" s="170"/>
      <c r="EG31" s="170"/>
      <c r="EH31" s="170"/>
    </row>
    <row r="32" spans="1:138">
      <c r="B32" s="206" t="s">
        <v>413</v>
      </c>
    </row>
    <row r="33" spans="1:138">
      <c r="B33" t="str">
        <f>B25</f>
        <v>Market Rate Rental</v>
      </c>
      <c r="F33" s="6">
        <f>IF(F13&gt;='Phase I - Summary'!$D$23,-SUM('Phase I - CF MF Market Rental'!C55:C57),0)</f>
        <v>0</v>
      </c>
      <c r="G33" s="6">
        <f>IF(G13&gt;='Phase I - Summary'!$D$23,-SUM('Phase I - CF MF Market Rental'!D55:D57),0)</f>
        <v>0</v>
      </c>
      <c r="H33" s="6">
        <f>IF(H13&gt;='Phase I - Summary'!$D$23,-SUM('Phase I - CF MF Market Rental'!E55:E57),0)</f>
        <v>0</v>
      </c>
      <c r="I33" s="6">
        <f>IF(I13&gt;='Phase I - Summary'!$D$23,-SUM('Phase I - CF MF Market Rental'!F55:F57),0)</f>
        <v>0</v>
      </c>
      <c r="J33" s="6">
        <f>IF(J13&gt;='Phase I - Summary'!$D$23,-SUM('Phase I - CF MF Market Rental'!G55:G57),0)</f>
        <v>0</v>
      </c>
      <c r="K33" s="6">
        <f>IF(K13&gt;='Phase I - Summary'!$D$23,-SUM('Phase I - CF MF Market Rental'!H55:H57),0)</f>
        <v>1037434.08</v>
      </c>
      <c r="L33" s="6">
        <f>IF(L13&gt;='Phase I - Summary'!$D$23,-SUM('Phase I - CF MF Market Rental'!I55:I57),0)</f>
        <v>2499264.8226000001</v>
      </c>
      <c r="M33" s="6">
        <f>IF(M13&gt;='Phase I - Summary'!$D$23,-SUM('Phase I - CF MF Market Rental'!J55:J57),0)</f>
        <v>2610202.9160492988</v>
      </c>
      <c r="N33" s="6">
        <f>IF(N13&gt;='Phase I - Summary'!$D$23,-SUM('Phase I - CF MF Market Rental'!K55:K57),0)</f>
        <v>2726119.2313510668</v>
      </c>
      <c r="O33" s="6">
        <f>IF(O13&gt;='Phase I - Summary'!$D$23,-SUM('Phase I - CF MF Market Rental'!L55:L57),0)</f>
        <v>2847238.5410646037</v>
      </c>
      <c r="P33" s="6">
        <f>IF(P13&gt;='Phase I - Summary'!$D$23,-SUM('Phase I - CF MF Market Rental'!M55:M57),0)</f>
        <v>2973795.8014872828</v>
      </c>
      <c r="Q33" s="6">
        <f>IF(Q13&gt;='Phase I - Summary'!$D$23,-SUM('Phase I - CF MF Market Rental'!N55:N57),0)</f>
        <v>3106036.6149293003</v>
      </c>
      <c r="R33" s="6">
        <f>IF(R13&gt;='Phase I - Summary'!$D$23,-SUM('Phase I - CF MF Market Rental'!O55:O57),0)</f>
        <v>3244217.7129947874</v>
      </c>
      <c r="S33" s="6">
        <f>IF(S13&gt;='Phase I - Summary'!$D$23,-SUM('Phase I - CF MF Market Rental'!P55:P57),0)</f>
        <v>3388607.4618244087</v>
      </c>
      <c r="T33" s="6">
        <f>IF(T13&gt;='Phase I - Summary'!$D$23,-SUM('Phase I - CF MF Market Rental'!Q55:Q57),0)</f>
        <v>3539486.3902979866</v>
      </c>
      <c r="U33" s="6">
        <f>IF(U13&gt;='Phase I - Summary'!$D$23,-SUM('Phase I - CF MF Market Rental'!R55:R57),0)</f>
        <v>3697147.7422411297</v>
      </c>
      <c r="V33" s="6">
        <f>IF(V13&gt;='Phase I - Summary'!$D$23,-SUM('Phase I - CF MF Market Rental'!S55:S57),0)</f>
        <v>3861898.0537272976</v>
      </c>
      <c r="W33" s="6">
        <f>IF(W13&gt;='Phase I - Summary'!$D$23,-SUM('Phase I - CF MF Market Rental'!T55:T57),0)</f>
        <v>4034057.7566164411</v>
      </c>
      <c r="X33" s="6">
        <f>IF(X13&gt;='Phase I - Summary'!$D$23,-SUM('Phase I - CF MF Market Rental'!U55:U57),0)</f>
        <v>4213961.8095231541</v>
      </c>
      <c r="Y33" s="6">
        <f>IF(Y13&gt;='Phase I - Summary'!$D$23,-SUM('Phase I - CF MF Market Rental'!V55:V57),0)</f>
        <v>4401960.3574616406</v>
      </c>
      <c r="Z33" s="6">
        <f>IF(Z13&gt;='Phase I - Summary'!$D$23,-SUM('Phase I - CF MF Market Rental'!W55:W57),0)</f>
        <v>4598419.421471457</v>
      </c>
      <c r="AA33" s="6">
        <f>IF(AA13&gt;='Phase I - Summary'!$D$23,-SUM('Phase I - CF MF Market Rental'!X55:X57),0)</f>
        <v>4803721.6195873534</v>
      </c>
      <c r="AB33" s="6">
        <f>IF(AB13&gt;='Phase I - Summary'!$D$23,-SUM('Phase I - CF MF Market Rental'!Y55:Y57),0)</f>
        <v>5018266.9205784965</v>
      </c>
      <c r="AC33" s="6">
        <f>IF(AC13&gt;='Phase I - Summary'!$D$23,-SUM('Phase I - CF MF Market Rental'!Z55:Z57),0)</f>
        <v>5242473.4319472341</v>
      </c>
      <c r="AD33" s="6">
        <f>IF(AD13&gt;='Phase I - Summary'!$D$23,-SUM('Phase I - CF MF Market Rental'!AA55:AA57),0)</f>
        <v>5476778.2237453107</v>
      </c>
      <c r="AE33" s="6">
        <f>IF(AE13&gt;='Phase I - Summary'!$D$23,-SUM('Phase I - CF MF Market Rental'!AB55:AB57),0)</f>
        <v>5721638.1898363102</v>
      </c>
      <c r="AF33" s="6">
        <f>IF(AF13&gt;='Phase I - Summary'!$D$23,-SUM('Phase I - CF MF Market Rental'!AC55:AC57),0)</f>
        <v>5977530.9483072143</v>
      </c>
      <c r="AG33" s="6">
        <f>IF(AG13&gt;='Phase I - Summary'!$D$23,-SUM('Phase I - CF MF Market Rental'!AD55:AD57),0)</f>
        <v>6244955.7828093823</v>
      </c>
      <c r="AH33" s="6">
        <f>IF(AH13&gt;='Phase I - Summary'!$D$23,-SUM('Phase I - CF MF Market Rental'!AE55:AE57),0)</f>
        <v>6524434.626690249</v>
      </c>
      <c r="AI33" s="6">
        <f>IF(AI13&gt;='Phase I - Summary'!$D$23,-SUM('Phase I - CF MF Market Rental'!AF55:AF57),0)</f>
        <v>6816513.0918617742</v>
      </c>
      <c r="AJ33" s="6">
        <f>IF(AJ13&gt;='Phase I - Summary'!$D$23,-SUM('Phase I - CF MF Market Rental'!AG55:AG57),0)</f>
        <v>7121761.5444400301</v>
      </c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  <c r="CY33" s="170"/>
      <c r="CZ33" s="170"/>
      <c r="DA33" s="170"/>
      <c r="DB33" s="170"/>
      <c r="DC33" s="170"/>
      <c r="DD33" s="170"/>
      <c r="DE33" s="170"/>
      <c r="DF33" s="170"/>
      <c r="DG33" s="170"/>
      <c r="DH33" s="170"/>
      <c r="DI33" s="170"/>
      <c r="DJ33" s="170"/>
      <c r="DK33" s="170"/>
      <c r="DL33" s="170"/>
      <c r="DM33" s="170"/>
      <c r="DN33" s="170"/>
      <c r="DO33" s="170"/>
      <c r="DP33" s="170"/>
      <c r="DQ33" s="170"/>
      <c r="DR33" s="170"/>
      <c r="DS33" s="170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  <c r="EE33" s="170"/>
      <c r="EF33" s="170"/>
      <c r="EG33" s="170"/>
      <c r="EH33" s="170"/>
    </row>
    <row r="34" spans="1:138">
      <c r="A34" s="167"/>
      <c r="B34" s="167" t="str">
        <f>B26</f>
        <v>Affordable Rental</v>
      </c>
      <c r="C34" s="167"/>
      <c r="D34" s="167"/>
      <c r="E34" s="167"/>
      <c r="F34" s="168">
        <f>IF(F13&gt;='Phase I - Summary'!$D$23,-SUM('Phase I - CF Affordable Rental'!C54:C56),0)</f>
        <v>0</v>
      </c>
      <c r="G34" s="168">
        <f>IF(G13&gt;='Phase I - Summary'!$D$23,-SUM('Phase I - CF Affordable Rental'!D54:D56),0)</f>
        <v>0</v>
      </c>
      <c r="H34" s="168">
        <f>IF(H13&gt;='Phase I - Summary'!$D$23,-SUM('Phase I - CF Affordable Rental'!E54:E56),0)</f>
        <v>0</v>
      </c>
      <c r="I34" s="168">
        <f>IF(I13&gt;='Phase I - Summary'!$D$23,-SUM('Phase I - CF Affordable Rental'!F54:F56),0)</f>
        <v>0</v>
      </c>
      <c r="J34" s="168">
        <f>IF(J13&gt;='Phase I - Summary'!$D$23,-SUM('Phase I - CF Affordable Rental'!G54:G56),0)</f>
        <v>0</v>
      </c>
      <c r="K34" s="168">
        <f>IF(K13&gt;='Phase I - Summary'!$D$23,-SUM('Phase I - CF Affordable Rental'!H54:H56),0)</f>
        <v>458323.08</v>
      </c>
      <c r="L34" s="168">
        <f>IF(L13&gt;='Phase I - Summary'!$D$23,-SUM('Phase I - CF Affordable Rental'!I54:I56),0)</f>
        <v>520413.76874999987</v>
      </c>
      <c r="M34" s="168">
        <f>IF(M13&gt;='Phase I - Summary'!$D$23,-SUM('Phase I - CF Affordable Rental'!J54:J56),0)</f>
        <v>546037.46363671869</v>
      </c>
      <c r="N34" s="168">
        <f>IF(N13&gt;='Phase I - Summary'!$D$23,-SUM('Phase I - CF Affordable Rental'!K54:K56),0)</f>
        <v>572940.30177317117</v>
      </c>
      <c r="O34" s="168">
        <f>IF(O13&gt;='Phase I - Summary'!$D$23,-SUM('Phase I - CF Affordable Rental'!L54:L56),0)</f>
        <v>601186.58837877773</v>
      </c>
      <c r="P34" s="168">
        <f>IF(P13&gt;='Phase I - Summary'!$D$23,-SUM('Phase I - CF Affordable Rental'!M54:M56),0)</f>
        <v>630843.87283950148</v>
      </c>
      <c r="Q34" s="168">
        <f>IF(Q13&gt;='Phase I - Summary'!$D$23,-SUM('Phase I - CF Affordable Rental'!N54:N56),0)</f>
        <v>661983.11266165075</v>
      </c>
      <c r="R34" s="168">
        <f>IF(R13&gt;='Phase I - Summary'!$D$23,-SUM('Phase I - CF Affordable Rental'!O54:O56),0)</f>
        <v>694678.84571878763</v>
      </c>
      <c r="S34" s="168">
        <f>IF(S13&gt;='Phase I - Summary'!$D$23,-SUM('Phase I - CF Affordable Rental'!P54:P56),0)</f>
        <v>729009.37121140806</v>
      </c>
      <c r="T34" s="168">
        <f>IF(T13&gt;='Phase I - Summary'!$D$23,-SUM('Phase I - CF Affordable Rental'!Q54:Q56),0)</f>
        <v>765056.9397802949</v>
      </c>
      <c r="U34" s="168">
        <f>IF(U13&gt;='Phase I - Summary'!$D$23,-SUM('Phase I - CF Affordable Rental'!R54:R56),0)</f>
        <v>802907.95323676441</v>
      </c>
      <c r="V34" s="168">
        <f>IF(V13&gt;='Phase I - Summary'!$D$23,-SUM('Phase I - CF Affordable Rental'!S54:S56),0)</f>
        <v>842653.17439647019</v>
      </c>
      <c r="W34" s="168">
        <f>IF(W13&gt;='Phase I - Summary'!$D$23,-SUM('Phase I - CF Affordable Rental'!T54:T56),0)</f>
        <v>884387.94752806309</v>
      </c>
      <c r="X34" s="168">
        <f>IF(X13&gt;='Phase I - Summary'!$D$23,-SUM('Phase I - CF Affordable Rental'!U54:U56),0)</f>
        <v>928212.42995388748</v>
      </c>
      <c r="Y34" s="168">
        <f>IF(Y13&gt;='Phase I - Summary'!$D$23,-SUM('Phase I - CF Affordable Rental'!V54:V56),0)</f>
        <v>974231.83536707435</v>
      </c>
      <c r="Z34" s="168">
        <f>IF(Z13&gt;='Phase I - Summary'!$D$23,-SUM('Phase I - CF Affordable Rental'!W54:W56),0)</f>
        <v>1022556.6894579737</v>
      </c>
      <c r="AA34" s="168">
        <f>IF(AA13&gt;='Phase I - Summary'!$D$23,-SUM('Phase I - CF Affordable Rental'!X54:X56),0)</f>
        <v>1073303.0984728604</v>
      </c>
      <c r="AB34" s="168">
        <f>IF(AB13&gt;='Phase I - Summary'!$D$23,-SUM('Phase I - CF Affordable Rental'!Y54:Y56),0)</f>
        <v>1126593.0313594025</v>
      </c>
      <c r="AC34" s="168">
        <f>IF(AC13&gt;='Phase I - Summary'!$D$23,-SUM('Phase I - CF Affordable Rental'!Z54:Z56),0)</f>
        <v>1182554.6161864852</v>
      </c>
      <c r="AD34" s="168">
        <f>IF(AD13&gt;='Phase I - Summary'!$D$23,-SUM('Phase I - CF Affordable Rental'!AA54:AA56),0)</f>
        <v>1241322.4515608011</v>
      </c>
      <c r="AE34" s="168">
        <f>IF(AE13&gt;='Phase I - Summary'!$D$23,-SUM('Phase I - CF Affordable Rental'!AB54:AB56),0)</f>
        <v>1303037.933799189</v>
      </c>
      <c r="AF34" s="168">
        <f>IF(AF13&gt;='Phase I - Summary'!$D$23,-SUM('Phase I - CF Affordable Rental'!AC54:AC56),0)</f>
        <v>1367849.600654098</v>
      </c>
      <c r="AG34" s="168">
        <f>IF(AG13&gt;='Phase I - Summary'!$D$23,-SUM('Phase I - CF Affordable Rental'!AD54:AD56),0)</f>
        <v>1435913.4924299447</v>
      </c>
      <c r="AH34" s="168">
        <f>IF(AH13&gt;='Phase I - Summary'!$D$23,-SUM('Phase I - CF Affordable Rental'!AE54:AE56),0)</f>
        <v>1507393.5313705127</v>
      </c>
      <c r="AI34" s="168">
        <f>IF(AI13&gt;='Phase I - Summary'!$D$23,-SUM('Phase I - CF Affordable Rental'!AF54:AF56),0)</f>
        <v>1582461.9202421049</v>
      </c>
      <c r="AJ34" s="168">
        <f>IF(AJ13&gt;='Phase I - Summary'!$D$23,-SUM('Phase I - CF Affordable Rental'!AG54:AG56),0)</f>
        <v>1661299.561083969</v>
      </c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  <c r="CR34" s="170"/>
      <c r="CS34" s="170"/>
      <c r="CT34" s="170"/>
      <c r="CU34" s="170"/>
      <c r="CV34" s="170"/>
      <c r="CW34" s="170"/>
      <c r="CX34" s="170"/>
      <c r="CY34" s="170"/>
      <c r="CZ34" s="170"/>
      <c r="DA34" s="170"/>
      <c r="DB34" s="170"/>
      <c r="DC34" s="170"/>
      <c r="DD34" s="170"/>
      <c r="DE34" s="170"/>
      <c r="DF34" s="170"/>
      <c r="DG34" s="170"/>
      <c r="DH34" s="170"/>
      <c r="DI34" s="170"/>
      <c r="DJ34" s="170"/>
      <c r="DK34" s="170"/>
      <c r="DL34" s="170"/>
      <c r="DM34" s="170"/>
      <c r="DN34" s="170"/>
      <c r="DO34" s="170"/>
      <c r="DP34" s="170"/>
      <c r="DQ34" s="170"/>
      <c r="DR34" s="170"/>
      <c r="DS34" s="170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  <c r="EE34" s="170"/>
      <c r="EF34" s="170"/>
      <c r="EG34" s="170"/>
      <c r="EH34" s="170"/>
    </row>
    <row r="35" spans="1:138">
      <c r="B35" t="str">
        <f>B27</f>
        <v>Commercial</v>
      </c>
      <c r="F35" s="6">
        <f>IF(F13&gt;='Phase I - Summary'!$D$23,'Phase I - CF Commercial'!C51-SUM('Phase I - CF Commercial'!C56:C57),0)</f>
        <v>0</v>
      </c>
      <c r="G35" s="6">
        <f>IF(G13&gt;='Phase I - Summary'!$D$23,'Phase I - CF Commercial'!D51-SUM('Phase I - CF Commercial'!D56:D57),0)</f>
        <v>0</v>
      </c>
      <c r="H35" s="6">
        <f>IF(H13&gt;='Phase I - Summary'!$D$23,'Phase I - CF Commercial'!E51-SUM('Phase I - CF Commercial'!E56:E57),0)</f>
        <v>0</v>
      </c>
      <c r="I35" s="6">
        <f>IF(I13&gt;='Phase I - Summary'!$D$23,'Phase I - CF Commercial'!F51-SUM('Phase I - CF Commercial'!F56:F57),0)</f>
        <v>0</v>
      </c>
      <c r="J35" s="6">
        <f>IF(J13&gt;='Phase I - Summary'!$D$23,'Phase I - CF Commercial'!G51-SUM('Phase I - CF Commercial'!G56:G57),0)</f>
        <v>0</v>
      </c>
      <c r="K35" s="6">
        <f>IF(K13&gt;='Phase I - Summary'!$D$23,'Phase I - CF Commercial'!H51-SUM('Phase I - CF Commercial'!H56:H57),0)</f>
        <v>29647980.961647239</v>
      </c>
      <c r="L35" s="6">
        <f>IF(L13&gt;='Phase I - Summary'!$D$23,'Phase I - CF Commercial'!I51-SUM('Phase I - CF Commercial'!I56:I57),0)</f>
        <v>2667368.2702830001</v>
      </c>
      <c r="M35" s="6">
        <f>IF(M13&gt;='Phase I - Summary'!$D$23,'Phase I - CF Commercial'!J51-SUM('Phase I - CF Commercial'!J56:J57),0)</f>
        <v>2724894.7463555699</v>
      </c>
      <c r="N35" s="6">
        <f>IF(N13&gt;='Phase I - Summary'!$D$23,'Phase I - CF Commercial'!K51-SUM('Phase I - CF Commercial'!K56:K57),0)</f>
        <v>2783697.1252695988</v>
      </c>
      <c r="O35" s="6">
        <f>IF(O13&gt;='Phase I - Summary'!$D$23,'Phase I - CF Commercial'!L51-SUM('Phase I - CF Commercial'!L56:L57),0)</f>
        <v>2843804.6862815153</v>
      </c>
      <c r="P35" s="6">
        <f>IF(P13&gt;='Phase I - Summary'!$D$23,'Phase I - CF Commercial'!M51-SUM('Phase I - CF Commercial'!M56:M57),0)</f>
        <v>2905247.4070688663</v>
      </c>
      <c r="Q35" s="6">
        <f>IF(Q13&gt;='Phase I - Summary'!$D$23,'Phase I - CF Commercial'!N51-SUM('Phase I - CF Commercial'!N56:N57),0)</f>
        <v>2968055.9810838159</v>
      </c>
      <c r="R35" s="6">
        <f>IF(R13&gt;='Phase I - Summary'!$D$23,'Phase I - CF Commercial'!O51-SUM('Phase I - CF Commercial'!O56:O57),0)</f>
        <v>3032261.8353552716</v>
      </c>
      <c r="S35" s="6">
        <f>IF(S13&gt;='Phase I - Summary'!$D$23,'Phase I - CF Commercial'!P51-SUM('Phase I - CF Commercial'!P56:P57),0)</f>
        <v>3097897.1487516495</v>
      </c>
      <c r="T35" s="6">
        <f>IF(T13&gt;='Phase I - Summary'!$D$23,'Phase I - CF Commercial'!Q51-SUM('Phase I - CF Commercial'!Q56:Q57),0)</f>
        <v>3164994.8707166333</v>
      </c>
      <c r="U35" s="6">
        <f>IF(U13&gt;='Phase I - Summary'!$D$23,'Phase I - CF Commercial'!R51-SUM('Phase I - CF Commercial'!R56:R57),0)</f>
        <v>3233588.7404906158</v>
      </c>
      <c r="V35" s="6">
        <f>IF(V13&gt;='Phase I - Summary'!$D$23,'Phase I - CF Commercial'!S51-SUM('Phase I - CF Commercial'!S56:S57),0)</f>
        <v>3303713.3068308663</v>
      </c>
      <c r="W35" s="6">
        <f>IF(W13&gt;='Phase I - Summary'!$D$23,'Phase I - CF Commercial'!T51-SUM('Phase I - CF Commercial'!T56:T57),0)</f>
        <v>3375403.9482438359</v>
      </c>
      <c r="X35" s="6">
        <f>IF(X13&gt;='Phase I - Summary'!$D$23,'Phase I - CF Commercial'!U51-SUM('Phase I - CF Commercial'!U56:U57),0)</f>
        <v>3448696.8937433548</v>
      </c>
      <c r="Y35" s="6">
        <f>IF(Y13&gt;='Phase I - Summary'!$D$23,'Phase I - CF Commercial'!V51-SUM('Phase I - CF Commercial'!V56:V57),0)</f>
        <v>3523629.2441489049</v>
      </c>
      <c r="Z35" s="6">
        <f>IF(Z13&gt;='Phase I - Summary'!$D$23,'Phase I - CF Commercial'!W51-SUM('Phase I - CF Commercial'!W56:W57),0)</f>
        <v>3600238.9939384847</v>
      </c>
      <c r="AA35" s="6">
        <f>IF(AA13&gt;='Phase I - Summary'!$D$23,'Phase I - CF Commercial'!X51-SUM('Phase I - CF Commercial'!X56:X57),0)</f>
        <v>3678565.053671055</v>
      </c>
      <c r="AB35" s="6">
        <f>IF(AB13&gt;='Phase I - Summary'!$D$23,'Phase I - CF Commercial'!Y51-SUM('Phase I - CF Commercial'!Y56:Y57),0)</f>
        <v>3758647.272993891</v>
      </c>
      <c r="AC35" s="6">
        <f>IF(AC13&gt;='Phase I - Summary'!$D$23,'Phase I - CF Commercial'!Z51-SUM('Phase I - CF Commercial'!Z56:Z57),0)</f>
        <v>3840526.4642506652</v>
      </c>
      <c r="AD35" s="6">
        <f>IF(AD13&gt;='Phase I - Summary'!$D$23,'Phase I - CF Commercial'!AA51-SUM('Phase I - CF Commercial'!AA56:AA57),0)</f>
        <v>3924244.4267064822</v>
      </c>
      <c r="AE35" s="6">
        <f>IF(AE13&gt;='Phase I - Summary'!$D$23,'Phase I - CF Commercial'!AB51-SUM('Phase I - CF Commercial'!AB56:AB57),0)</f>
        <v>4009843.9714065399</v>
      </c>
      <c r="AF35" s="6">
        <f>IF(AF13&gt;='Phase I - Summary'!$D$23,'Phase I - CF Commercial'!AC51-SUM('Phase I - CF Commercial'!AC56:AC57),0)</f>
        <v>4097368.9466855763</v>
      </c>
      <c r="AG35" s="6">
        <f>IF(AG13&gt;='Phase I - Summary'!$D$23,'Phase I - CF Commercial'!AD51-SUM('Phase I - CF Commercial'!AD56:AD57),0)</f>
        <v>4186864.2643457209</v>
      </c>
      <c r="AH35" s="6">
        <f>IF(AH13&gt;='Phase I - Summary'!$D$23,'Phase I - CF Commercial'!AE51-SUM('Phase I - CF Commercial'!AE56:AE57),0)</f>
        <v>4278375.9265208608</v>
      </c>
      <c r="AI35" s="6">
        <f>IF(AI13&gt;='Phase I - Summary'!$D$23,'Phase I - CF Commercial'!AF51-SUM('Phase I - CF Commercial'!AF56:AF57),0)</f>
        <v>4371951.0532461507</v>
      </c>
      <c r="AJ35" s="6">
        <f>IF(AJ13&gt;='Phase I - Summary'!$D$23,'Phase I - CF Commercial'!AG51-SUM('Phase I - CF Commercial'!AG56:AG57),0)</f>
        <v>4467637.9107517926</v>
      </c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0"/>
      <c r="CS35" s="170"/>
      <c r="CT35" s="170"/>
      <c r="CU35" s="170"/>
      <c r="CV35" s="170"/>
      <c r="CW35" s="170"/>
      <c r="CX35" s="170"/>
      <c r="CY35" s="170"/>
      <c r="CZ35" s="170"/>
      <c r="DA35" s="170"/>
      <c r="DB35" s="170"/>
      <c r="DC35" s="170"/>
      <c r="DD35" s="170"/>
      <c r="DE35" s="170"/>
      <c r="DF35" s="170"/>
      <c r="DG35" s="170"/>
      <c r="DH35" s="170"/>
      <c r="DI35" s="170"/>
      <c r="DJ35" s="170"/>
      <c r="DK35" s="170"/>
      <c r="DL35" s="170"/>
      <c r="DM35" s="170"/>
      <c r="DN35" s="170"/>
      <c r="DO35" s="170"/>
      <c r="DP35" s="170"/>
      <c r="DQ35" s="170"/>
      <c r="DR35" s="170"/>
      <c r="DS35" s="170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  <c r="EE35" s="170"/>
      <c r="EF35" s="170"/>
      <c r="EG35" s="170"/>
      <c r="EH35" s="170"/>
    </row>
    <row r="36" spans="1:138">
      <c r="B36" t="str">
        <f>B28</f>
        <v>Hotel</v>
      </c>
      <c r="F36" s="6">
        <f>IF(F13&gt;='Phase I - Summary'!$D$23,SUM('Phase I - CF Hotel'!C47,'Phase I - CF Hotel'!C56),0)</f>
        <v>0</v>
      </c>
      <c r="G36" s="6">
        <f>IF(G13&gt;='Phase I - Summary'!$D$23,SUM('Phase I - CF Hotel'!D47,'Phase I - CF Hotel'!D56),0)</f>
        <v>0</v>
      </c>
      <c r="H36" s="6">
        <f>IF(H13&gt;='Phase I - Summary'!$D$23,SUM('Phase I - CF Hotel'!E47,'Phase I - CF Hotel'!E56),0)</f>
        <v>0</v>
      </c>
      <c r="I36" s="6">
        <f>IF(I13&gt;='Phase I - Summary'!$D$23,SUM('Phase I - CF Hotel'!F47,'Phase I - CF Hotel'!F56),0)</f>
        <v>0</v>
      </c>
      <c r="J36" s="6">
        <f>IF(J13&gt;='Phase I - Summary'!$D$23,SUM('Phase I - CF Hotel'!G47,'Phase I - CF Hotel'!G56),0)</f>
        <v>0</v>
      </c>
      <c r="K36" s="6">
        <f>IF(K13&gt;='Phase I - Summary'!$D$23,SUM('Phase I - CF Hotel'!H47,'Phase I - CF Hotel'!H56),0)</f>
        <v>0</v>
      </c>
      <c r="L36" s="6">
        <f>IF(L13&gt;='Phase I - Summary'!$D$23,SUM('Phase I - CF Hotel'!I47,'Phase I - CF Hotel'!I56),0)</f>
        <v>0</v>
      </c>
      <c r="M36" s="6">
        <f>IF(M13&gt;='Phase I - Summary'!$D$23,SUM('Phase I - CF Hotel'!J47,'Phase I - CF Hotel'!J56),0)</f>
        <v>0</v>
      </c>
      <c r="N36" s="6">
        <f>IF(N13&gt;='Phase I - Summary'!$D$23,SUM('Phase I - CF Hotel'!K47,'Phase I - CF Hotel'!K56),0)</f>
        <v>0</v>
      </c>
      <c r="O36" s="6">
        <f>IF(O13&gt;='Phase I - Summary'!$D$23,SUM('Phase I - CF Hotel'!L47,'Phase I - CF Hotel'!L56),0)</f>
        <v>0</v>
      </c>
      <c r="P36" s="6">
        <f>IF(P13&gt;='Phase I - Summary'!$D$23,SUM('Phase I - CF Hotel'!M47,'Phase I - CF Hotel'!M56),0)</f>
        <v>0</v>
      </c>
      <c r="Q36" s="6">
        <f>IF(Q13&gt;='Phase I - Summary'!$D$23,SUM('Phase I - CF Hotel'!N47,'Phase I - CF Hotel'!N56),0)</f>
        <v>0</v>
      </c>
      <c r="R36" s="6">
        <f>IF(R13&gt;='Phase I - Summary'!$D$23,SUM('Phase I - CF Hotel'!O47,'Phase I - CF Hotel'!O56),0)</f>
        <v>0</v>
      </c>
      <c r="S36" s="6">
        <f>IF(S13&gt;='Phase I - Summary'!$D$23,SUM('Phase I - CF Hotel'!P47,'Phase I - CF Hotel'!P56),0)</f>
        <v>0</v>
      </c>
      <c r="T36" s="6">
        <f>IF(T13&gt;='Phase I - Summary'!$D$23,SUM('Phase I - CF Hotel'!Q47,'Phase I - CF Hotel'!Q56),0)</f>
        <v>0</v>
      </c>
      <c r="U36" s="6">
        <f>IF(U13&gt;='Phase I - Summary'!$D$23,SUM('Phase I - CF Hotel'!R47,'Phase I - CF Hotel'!R56),0)</f>
        <v>0</v>
      </c>
      <c r="V36" s="6">
        <f>IF(V13&gt;='Phase I - Summary'!$D$23,SUM('Phase I - CF Hotel'!S47,'Phase I - CF Hotel'!S56),0)</f>
        <v>0</v>
      </c>
      <c r="W36" s="6">
        <f>IF(W13&gt;='Phase I - Summary'!$D$23,SUM('Phase I - CF Hotel'!T47,'Phase I - CF Hotel'!T56),0)</f>
        <v>0</v>
      </c>
      <c r="X36" s="6">
        <f>IF(X13&gt;='Phase I - Summary'!$D$23,SUM('Phase I - CF Hotel'!U47,'Phase I - CF Hotel'!U56),0)</f>
        <v>0</v>
      </c>
      <c r="Y36" s="6">
        <f>IF(Y13&gt;='Phase I - Summary'!$D$23,SUM('Phase I - CF Hotel'!V47,'Phase I - CF Hotel'!V56),0)</f>
        <v>0</v>
      </c>
      <c r="Z36" s="6">
        <f>IF(Z13&gt;='Phase I - Summary'!$D$23,SUM('Phase I - CF Hotel'!W47,'Phase I - CF Hotel'!W56),0)</f>
        <v>0</v>
      </c>
      <c r="AA36" s="6">
        <f>IF(AA13&gt;='Phase I - Summary'!$D$23,SUM('Phase I - CF Hotel'!X47,'Phase I - CF Hotel'!X56),0)</f>
        <v>0</v>
      </c>
      <c r="AB36" s="6">
        <f>IF(AB13&gt;='Phase I - Summary'!$D$23,SUM('Phase I - CF Hotel'!Y47,'Phase I - CF Hotel'!Y56),0)</f>
        <v>0</v>
      </c>
      <c r="AC36" s="6">
        <f>IF(AC13&gt;='Phase I - Summary'!$D$23,SUM('Phase I - CF Hotel'!Z47,'Phase I - CF Hotel'!Z56),0)</f>
        <v>0</v>
      </c>
      <c r="AD36" s="6">
        <f>IF(AD13&gt;='Phase I - Summary'!$D$23,SUM('Phase I - CF Hotel'!AA47,'Phase I - CF Hotel'!AA56),0)</f>
        <v>0</v>
      </c>
      <c r="AE36" s="6">
        <f>IF(AE13&gt;='Phase I - Summary'!$D$23,SUM('Phase I - CF Hotel'!AB47,'Phase I - CF Hotel'!AB56),0)</f>
        <v>0</v>
      </c>
      <c r="AF36" s="6">
        <f>IF(AF13&gt;='Phase I - Summary'!$D$23,SUM('Phase I - CF Hotel'!AC47,'Phase I - CF Hotel'!AC56),0)</f>
        <v>0</v>
      </c>
      <c r="AG36" s="6">
        <f>IF(AG13&gt;='Phase I - Summary'!$D$23,SUM('Phase I - CF Hotel'!AD47,'Phase I - CF Hotel'!AD56),0)</f>
        <v>0</v>
      </c>
      <c r="AH36" s="6">
        <f>IF(AH13&gt;='Phase I - Summary'!$D$23,SUM('Phase I - CF Hotel'!AE47,'Phase I - CF Hotel'!AE56),0)</f>
        <v>0</v>
      </c>
      <c r="AI36" s="6">
        <f>IF(AI13&gt;='Phase I - Summary'!$D$23,SUM('Phase I - CF Hotel'!AF47,'Phase I - CF Hotel'!AF56),0)</f>
        <v>0</v>
      </c>
      <c r="AJ36" s="6">
        <f>IF(AJ13&gt;='Phase I - Summary'!$D$23,SUM('Phase I - CF Hotel'!AG47,'Phase I - CF Hotel'!AG56),0)</f>
        <v>0</v>
      </c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CZ36" s="170"/>
      <c r="DA36" s="170"/>
      <c r="DB36" s="170"/>
      <c r="DC36" s="170"/>
      <c r="DD36" s="170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  <c r="EE36" s="170"/>
      <c r="EF36" s="170"/>
      <c r="EG36" s="170"/>
      <c r="EH36" s="170"/>
    </row>
    <row r="37" spans="1:138">
      <c r="B37" t="str">
        <f>B29</f>
        <v>Retail</v>
      </c>
      <c r="F37" s="6">
        <f>IF(F13&gt;='Phase I - Summary'!$D$23,'Phase I - CF Retail'!C53-SUM('Phase I - CF Retail'!C58:C59),0)</f>
        <v>0</v>
      </c>
      <c r="G37" s="6">
        <f>IF(G13&gt;='Phase I - Summary'!$D$23,'Phase I - CF Retail'!D53-SUM('Phase I - CF Retail'!D58:D59),0)</f>
        <v>0</v>
      </c>
      <c r="H37" s="6">
        <f>IF(H13&gt;='Phase I - Summary'!$D$23,'Phase I - CF Retail'!E53-SUM('Phase I - CF Retail'!E58:E59),0)</f>
        <v>0</v>
      </c>
      <c r="I37" s="6">
        <f>IF(I13&gt;='Phase I - Summary'!$D$23,'Phase I - CF Retail'!F53-SUM('Phase I - CF Retail'!F58:F59),0)</f>
        <v>0</v>
      </c>
      <c r="J37" s="6">
        <f>IF(J13&gt;='Phase I - Summary'!$D$23,'Phase I - CF Retail'!G53-SUM('Phase I - CF Retail'!G58:G59),0)</f>
        <v>0</v>
      </c>
      <c r="K37" s="6">
        <f>IF(K13&gt;='Phase I - Summary'!$D$23,'Phase I - CF Retail'!H53-SUM('Phase I - CF Retail'!H58:H59),0)</f>
        <v>7230069.380516992</v>
      </c>
      <c r="L37" s="6">
        <f>IF(L13&gt;='Phase I - Summary'!$D$23,'Phase I - CF Retail'!I53-SUM('Phase I - CF Retail'!I58:I59),0)</f>
        <v>1155247.7186040001</v>
      </c>
      <c r="M37" s="6">
        <f>IF(M13&gt;='Phase I - Summary'!$D$23,'Phase I - CF Retail'!J53-SUM('Phase I - CF Retail'!J58:J59),0)</f>
        <v>1179849.56171316</v>
      </c>
      <c r="N37" s="6">
        <f>IF(N13&gt;='Phase I - Summary'!$D$23,'Phase I - CF Retail'!K53-SUM('Phase I - CF Retail'!K58:K59),0)</f>
        <v>1204988.3483466154</v>
      </c>
      <c r="O37" s="6">
        <f>IF(O13&gt;='Phase I - Summary'!$D$23,'Phase I - CF Retail'!L53-SUM('Phase I - CF Retail'!L58:L59),0)</f>
        <v>1230676.164574716</v>
      </c>
      <c r="P37" s="6">
        <f>IF(P13&gt;='Phase I - Summary'!$D$23,'Phase I - CF Retail'!M53-SUM('Phase I - CF Retail'!M58:M59),0)</f>
        <v>1256925.3786052135</v>
      </c>
      <c r="Q37" s="6">
        <f>IF(Q13&gt;='Phase I - Summary'!$D$23,'Phase I - CF Retail'!N53-SUM('Phase I - CF Retail'!N58:N59),0)</f>
        <v>1283748.6476384914</v>
      </c>
      <c r="R37" s="6">
        <f>IF(R13&gt;='Phase I - Summary'!$D$23,'Phase I - CF Retail'!O53-SUM('Phase I - CF Retail'!O58:O59),0)</f>
        <v>1311158.9248962696</v>
      </c>
      <c r="S37" s="6">
        <f>IF(S13&gt;='Phase I - Summary'!$D$23,'Phase I - CF Retail'!P53-SUM('Phase I - CF Retail'!P58:P59),0)</f>
        <v>1339169.4668283535</v>
      </c>
      <c r="T37" s="6">
        <f>IF(T13&gt;='Phase I - Summary'!$D$23,'Phase I - CF Retail'!Q53-SUM('Phase I - CF Retail'!Q58:Q59),0)</f>
        <v>1367793.8405021043</v>
      </c>
      <c r="U37" s="6">
        <f>IF(U13&gt;='Phase I - Summary'!$D$23,'Phase I - CF Retail'!R53-SUM('Phase I - CF Retail'!R58:R59),0)</f>
        <v>1397045.9311794455</v>
      </c>
      <c r="V37" s="6">
        <f>IF(V13&gt;='Phase I - Summary'!$D$23,'Phase I - CF Retail'!S53-SUM('Phase I - CF Retail'!S58:S59),0)</f>
        <v>1426939.9500863522</v>
      </c>
      <c r="W37" s="6">
        <f>IF(W13&gt;='Phase I - Summary'!$D$23,'Phase I - CF Retail'!T53-SUM('Phase I - CF Retail'!T58:T59),0)</f>
        <v>1457490.4423798968</v>
      </c>
      <c r="X37" s="6">
        <f>IF(X13&gt;='Phase I - Summary'!$D$23,'Phase I - CF Retail'!U53-SUM('Phase I - CF Retail'!U58:U59),0)</f>
        <v>1488712.2953180668</v>
      </c>
      <c r="Y37" s="6">
        <f>IF(Y13&gt;='Phase I - Summary'!$D$23,'Phase I - CF Retail'!V53-SUM('Phase I - CF Retail'!V58:V59),0)</f>
        <v>1520620.7466377176</v>
      </c>
      <c r="Z37" s="6">
        <f>IF(Z13&gt;='Phase I - Summary'!$D$23,'Phase I - CF Retail'!W53-SUM('Phase I - CF Retail'!W58:W59),0)</f>
        <v>1553231.3931461594</v>
      </c>
      <c r="AA37" s="6">
        <f>IF(AA13&gt;='Phase I - Summary'!$D$23,'Phase I - CF Retail'!X53-SUM('Phase I - CF Retail'!X58:X59),0)</f>
        <v>1586560.1995320413</v>
      </c>
      <c r="AB37" s="6">
        <f>IF(AB13&gt;='Phase I - Summary'!$D$23,'Phase I - CF Retail'!Y53-SUM('Phase I - CF Retail'!Y58:Y59),0)</f>
        <v>1620623.5074013295</v>
      </c>
      <c r="AC37" s="6">
        <f>IF(AC13&gt;='Phase I - Summary'!$D$23,'Phase I - CF Retail'!Z53-SUM('Phase I - CF Retail'!Z58:Z59),0)</f>
        <v>1655438.0445443629</v>
      </c>
      <c r="AD37" s="6">
        <f>IF(AD13&gt;='Phase I - Summary'!$D$23,'Phase I - CF Retail'!AA53-SUM('Phase I - CF Retail'!AA58:AA59),0)</f>
        <v>1691020.9344401066</v>
      </c>
      <c r="AE37" s="6">
        <f>IF(AE13&gt;='Phase I - Summary'!$D$23,'Phase I - CF Retail'!AB53-SUM('Phase I - CF Retail'!AB58:AB59),0)</f>
        <v>1727389.7060039118</v>
      </c>
      <c r="AF37" s="6">
        <f>IF(AF13&gt;='Phase I - Summary'!$D$23,'Phase I - CF Retail'!AC53-SUM('Phase I - CF Retail'!AC58:AC59),0)</f>
        <v>1764562.3035852425</v>
      </c>
      <c r="AG37" s="6">
        <f>IF(AG13&gt;='Phase I - Summary'!$D$23,'Phase I - CF Retail'!AD53-SUM('Phase I - CF Retail'!AD58:AD59),0)</f>
        <v>1802557.0972220376</v>
      </c>
      <c r="AH37" s="6">
        <f>IF(AH13&gt;='Phase I - Summary'!$D$23,'Phase I - CF Retail'!AE53-SUM('Phase I - CF Retail'!AE58:AE59),0)</f>
        <v>1841392.8931585215</v>
      </c>
      <c r="AI37" s="6">
        <f>IF(AI13&gt;='Phase I - Summary'!$D$23,'Phase I - CF Retail'!AF53-SUM('Phase I - CF Retail'!AF58:AF59),0)</f>
        <v>1881088.944633496</v>
      </c>
      <c r="AJ37" s="6">
        <f>IF(AJ13&gt;='Phase I - Summary'!$D$23,'Phase I - CF Retail'!AG53-SUM('Phase I - CF Retail'!AG58:AG59),0)</f>
        <v>1921664.9629463244</v>
      </c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 s="170"/>
      <c r="CC37" s="170"/>
      <c r="CD37" s="170"/>
      <c r="CE37" s="170"/>
      <c r="CF37" s="170"/>
      <c r="CG37" s="170"/>
      <c r="CH37" s="170"/>
      <c r="CI37" s="170"/>
      <c r="CJ37" s="170"/>
      <c r="CK37" s="170"/>
      <c r="CL37" s="170"/>
      <c r="CM37" s="170"/>
      <c r="CN37" s="170"/>
      <c r="CO37" s="170"/>
      <c r="CP37" s="170"/>
      <c r="CQ37" s="170"/>
      <c r="CR37" s="170"/>
      <c r="CS37" s="170"/>
      <c r="CT37" s="170"/>
      <c r="CU37" s="170"/>
      <c r="CV37" s="170"/>
      <c r="CW37" s="170"/>
      <c r="CX37" s="170"/>
      <c r="CY37" s="170"/>
      <c r="CZ37" s="170"/>
      <c r="DA37" s="170"/>
      <c r="DB37" s="170"/>
      <c r="DC37" s="170"/>
      <c r="DD37" s="170"/>
      <c r="DE37" s="170"/>
      <c r="DF37" s="170"/>
      <c r="DG37" s="170"/>
      <c r="DH37" s="170"/>
      <c r="DI37" s="170"/>
      <c r="DJ37" s="170"/>
      <c r="DK37" s="170"/>
      <c r="DL37" s="170"/>
      <c r="DM37" s="170"/>
      <c r="DN37" s="170"/>
      <c r="DO37" s="170"/>
      <c r="DP37" s="170"/>
      <c r="DQ37" s="170"/>
      <c r="DR37" s="170"/>
      <c r="DS37" s="170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  <c r="EE37" s="170"/>
      <c r="EF37" s="170"/>
      <c r="EG37" s="170"/>
      <c r="EH37" s="170"/>
    </row>
    <row r="38" spans="1:138">
      <c r="B38" s="38" t="s">
        <v>631</v>
      </c>
      <c r="C38" s="38"/>
      <c r="D38" s="38"/>
      <c r="E38" s="38"/>
      <c r="F38" s="20">
        <f t="shared" ref="F38:AJ38" si="22">SUM(F33:F37)</f>
        <v>0</v>
      </c>
      <c r="G38" s="20">
        <f t="shared" si="22"/>
        <v>0</v>
      </c>
      <c r="H38" s="20">
        <f t="shared" si="22"/>
        <v>0</v>
      </c>
      <c r="I38" s="20">
        <f t="shared" si="22"/>
        <v>0</v>
      </c>
      <c r="J38" s="20">
        <f t="shared" si="22"/>
        <v>0</v>
      </c>
      <c r="K38" s="20">
        <f t="shared" si="22"/>
        <v>38373807.50216423</v>
      </c>
      <c r="L38" s="20">
        <f t="shared" si="22"/>
        <v>6842294.5802370002</v>
      </c>
      <c r="M38" s="20">
        <f t="shared" si="22"/>
        <v>7060984.6877547475</v>
      </c>
      <c r="N38" s="20">
        <f t="shared" si="22"/>
        <v>7287745.0067404527</v>
      </c>
      <c r="O38" s="20">
        <f t="shared" si="22"/>
        <v>7522905.9802996125</v>
      </c>
      <c r="P38" s="20">
        <f t="shared" si="22"/>
        <v>7766812.4600008633</v>
      </c>
      <c r="Q38" s="20">
        <f t="shared" si="22"/>
        <v>8019824.3563132584</v>
      </c>
      <c r="R38" s="20">
        <f t="shared" si="22"/>
        <v>8282317.3189651165</v>
      </c>
      <c r="S38" s="20">
        <f t="shared" si="22"/>
        <v>8554683.4486158192</v>
      </c>
      <c r="T38" s="20">
        <f t="shared" si="22"/>
        <v>8837332.0412970185</v>
      </c>
      <c r="U38" s="20">
        <f t="shared" si="22"/>
        <v>9130690.367147956</v>
      </c>
      <c r="V38" s="20">
        <f t="shared" si="22"/>
        <v>9435204.485040985</v>
      </c>
      <c r="W38" s="20">
        <f t="shared" si="22"/>
        <v>9751340.0947682373</v>
      </c>
      <c r="X38" s="20">
        <f t="shared" si="22"/>
        <v>10079583.428538464</v>
      </c>
      <c r="Y38" s="20">
        <f t="shared" si="22"/>
        <v>10420442.183615336</v>
      </c>
      <c r="Z38" s="20">
        <f t="shared" si="22"/>
        <v>10774446.498014074</v>
      </c>
      <c r="AA38" s="20">
        <f t="shared" si="22"/>
        <v>11142149.97126331</v>
      </c>
      <c r="AB38" s="20">
        <f t="shared" si="22"/>
        <v>11524130.73233312</v>
      </c>
      <c r="AC38" s="20">
        <f t="shared" si="22"/>
        <v>11920992.556928748</v>
      </c>
      <c r="AD38" s="20">
        <f t="shared" si="22"/>
        <v>12333366.036452699</v>
      </c>
      <c r="AE38" s="20">
        <f t="shared" si="22"/>
        <v>12761909.801045951</v>
      </c>
      <c r="AF38" s="20">
        <f t="shared" si="22"/>
        <v>13207311.799232131</v>
      </c>
      <c r="AG38" s="20">
        <f t="shared" si="22"/>
        <v>13670290.636807086</v>
      </c>
      <c r="AH38" s="20">
        <f t="shared" si="22"/>
        <v>14151596.977740142</v>
      </c>
      <c r="AI38" s="20">
        <f t="shared" si="22"/>
        <v>14652015.009983525</v>
      </c>
      <c r="AJ38" s="20">
        <f t="shared" si="22"/>
        <v>15172363.979222117</v>
      </c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</row>
    <row r="39" spans="1:138">
      <c r="B39" s="21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  <c r="EE39" s="170"/>
      <c r="EF39" s="170"/>
      <c r="EG39" s="170"/>
      <c r="EH39" s="170"/>
    </row>
    <row r="40" spans="1:138" ht="14.4">
      <c r="B40" s="22" t="s">
        <v>629</v>
      </c>
      <c r="F40" s="6">
        <f>SUM(F25:F29)-SUM(F33:F37)</f>
        <v>0</v>
      </c>
      <c r="G40" s="6">
        <f t="shared" ref="G40:R40" si="23">SUM(G25:G29)-SUM(G33:G37)</f>
        <v>0</v>
      </c>
      <c r="H40" s="6">
        <f t="shared" si="23"/>
        <v>0</v>
      </c>
      <c r="I40" s="6">
        <f t="shared" si="23"/>
        <v>0</v>
      </c>
      <c r="J40" s="6">
        <f t="shared" si="23"/>
        <v>0</v>
      </c>
      <c r="K40" s="6">
        <f t="shared" si="23"/>
        <v>-17703694.90316423</v>
      </c>
      <c r="L40" s="6">
        <f t="shared" si="23"/>
        <v>18371698.031732999</v>
      </c>
      <c r="M40" s="6">
        <f t="shared" si="23"/>
        <v>18868497.730574351</v>
      </c>
      <c r="N40" s="6">
        <f t="shared" si="23"/>
        <v>19377668.662838519</v>
      </c>
      <c r="O40" s="6">
        <f t="shared" si="23"/>
        <v>19899468.047534227</v>
      </c>
      <c r="P40" s="6">
        <f t="shared" si="23"/>
        <v>20434155.685539678</v>
      </c>
      <c r="Q40" s="6">
        <f t="shared" si="23"/>
        <v>20981993.802886978</v>
      </c>
      <c r="R40" s="6">
        <f t="shared" si="23"/>
        <v>21543246.878536947</v>
      </c>
      <c r="S40" s="6">
        <f t="shared" ref="S40:AD40" si="24">SUM(S25:S29)-SUM(S33:S37)</f>
        <v>22118181.455675263</v>
      </c>
      <c r="T40" s="6">
        <f t="shared" si="24"/>
        <v>22707065.935508355</v>
      </c>
      <c r="U40" s="6">
        <f t="shared" si="24"/>
        <v>23310170.352481779</v>
      </c>
      <c r="V40" s="6">
        <f t="shared" si="24"/>
        <v>23927766.129785851</v>
      </c>
      <c r="W40" s="6">
        <f t="shared" si="24"/>
        <v>24560125.813951802</v>
      </c>
      <c r="X40" s="6">
        <f t="shared" si="24"/>
        <v>25207522.787277803</v>
      </c>
      <c r="Y40" s="6">
        <f t="shared" si="24"/>
        <v>25870230.956755906</v>
      </c>
      <c r="Z40" s="6">
        <f t="shared" si="24"/>
        <v>26548524.418100808</v>
      </c>
      <c r="AA40" s="6">
        <f t="shared" si="24"/>
        <v>27242677.093405813</v>
      </c>
      <c r="AB40" s="6">
        <f t="shared" si="24"/>
        <v>27952962.340873662</v>
      </c>
      <c r="AC40" s="6">
        <f t="shared" si="24"/>
        <v>28679652.534986764</v>
      </c>
      <c r="AD40" s="6">
        <f t="shared" si="24"/>
        <v>29423018.615395617</v>
      </c>
      <c r="AE40" s="6">
        <f t="shared" ref="AE40:AJ40" si="25">SUM(AE25:AE29)-SUM(AE33:AE37)</f>
        <v>30183329.602712523</v>
      </c>
      <c r="AF40" s="6">
        <f t="shared" si="25"/>
        <v>30960852.079302669</v>
      </c>
      <c r="AG40" s="6">
        <f t="shared" si="25"/>
        <v>31755849.633063935</v>
      </c>
      <c r="AH40" s="6">
        <f t="shared" si="25"/>
        <v>32568582.262081694</v>
      </c>
      <c r="AI40" s="6">
        <f t="shared" si="25"/>
        <v>33399305.737934008</v>
      </c>
      <c r="AJ40" s="6">
        <f t="shared" si="25"/>
        <v>34248270.925306514</v>
      </c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 s="170"/>
      <c r="CC40" s="170"/>
      <c r="CD40" s="170"/>
      <c r="CE40" s="170"/>
      <c r="CF40" s="170"/>
      <c r="CG40" s="170"/>
      <c r="CH40" s="170"/>
      <c r="CI40" s="170"/>
      <c r="CJ40" s="170"/>
      <c r="CK40" s="170"/>
      <c r="CL40" s="170"/>
      <c r="CM40" s="170"/>
      <c r="CN40" s="170"/>
      <c r="CO40" s="170"/>
      <c r="CP40" s="170"/>
      <c r="CQ40" s="170"/>
      <c r="CR40" s="170"/>
      <c r="CS40" s="170"/>
      <c r="CT40" s="170"/>
      <c r="CU40" s="170"/>
      <c r="CV40" s="170"/>
      <c r="CW40" s="170"/>
      <c r="CX40" s="170"/>
      <c r="CY40" s="170"/>
      <c r="CZ40" s="170"/>
      <c r="DA40" s="170"/>
      <c r="DB40" s="170"/>
      <c r="DC40" s="170"/>
      <c r="DD40" s="170"/>
      <c r="DE40" s="170"/>
      <c r="DF40" s="170"/>
      <c r="DG40" s="170"/>
      <c r="DH40" s="170"/>
      <c r="DI40" s="170"/>
      <c r="DJ40" s="170"/>
      <c r="DK40" s="170"/>
      <c r="DL40" s="170"/>
      <c r="DM40" s="170"/>
      <c r="DN40" s="170"/>
      <c r="DO40" s="170"/>
      <c r="DP40" s="170"/>
      <c r="DQ40" s="170"/>
      <c r="DR40" s="170"/>
      <c r="DS40" s="170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  <c r="EE40" s="170"/>
      <c r="EF40" s="170"/>
      <c r="EG40" s="170"/>
      <c r="EH40" s="170"/>
    </row>
    <row r="41" spans="1:138" ht="14.4">
      <c r="C41" s="9"/>
      <c r="D41" s="9"/>
      <c r="E41" s="9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</row>
    <row r="42" spans="1:138">
      <c r="B42" s="1" t="s">
        <v>633</v>
      </c>
      <c r="F42" s="6" t="b">
        <f>IF(F13&gt;='Phase I - Summary'!$D$23,'Phase I - Pro Forma'!G40/'Phase I - Summary'!$D$29)</f>
        <v>0</v>
      </c>
      <c r="G42" s="6" t="b">
        <f>IF(G13&gt;='Phase I - Summary'!$D$23,'Phase I - Pro Forma'!H40/'Phase I - Summary'!$D$29)</f>
        <v>0</v>
      </c>
      <c r="H42" s="6" t="b">
        <f>IF(H13&gt;='Phase I - Summary'!$D$23,'Phase I - Pro Forma'!I40/'Phase I - Summary'!$D$29)</f>
        <v>0</v>
      </c>
      <c r="I42" s="6" t="b">
        <f>IF(I13&gt;='Phase I - Summary'!$D$23,'Phase I - Pro Forma'!J40/'Phase I - Summary'!$D$29)</f>
        <v>0</v>
      </c>
      <c r="J42" s="6" t="b">
        <f>IF(J13&gt;='Phase I - Summary'!$D$23,'Phase I - Pro Forma'!K40/'Phase I - Summary'!$D$29)</f>
        <v>0</v>
      </c>
      <c r="K42" s="6">
        <f>IF(K13&gt;='Phase I - Summary'!$D$23,'Phase I - Pro Forma'!L40/'Phase I - Summary'!$D$29)</f>
        <v>328066036.28094637</v>
      </c>
      <c r="L42" s="6">
        <f>IF(L13&gt;='Phase I - Summary'!$D$23,'Phase I - Pro Forma'!M40/'Phase I - Summary'!$D$29)</f>
        <v>336937459.47454196</v>
      </c>
      <c r="M42" s="6">
        <f>IF(M13&gt;='Phase I - Summary'!$D$23,'Phase I - Pro Forma'!N40/'Phase I - Summary'!$D$29)</f>
        <v>346029797.55068785</v>
      </c>
      <c r="N42" s="6">
        <f>IF(N13&gt;='Phase I - Summary'!$D$23,'Phase I - Pro Forma'!O40/'Phase I - Summary'!$D$29)</f>
        <v>355347643.70596832</v>
      </c>
      <c r="O42" s="6">
        <f>IF(O13&gt;='Phase I - Summary'!$D$23,'Phase I - Pro Forma'!P40/'Phase I - Summary'!$D$29)</f>
        <v>364895637.24177992</v>
      </c>
      <c r="P42" s="6">
        <f>IF(P13&gt;='Phase I - Summary'!$D$23,'Phase I - Pro Forma'!Q40/'Phase I - Summary'!$D$29)</f>
        <v>374678460.76583886</v>
      </c>
      <c r="Q42" s="6">
        <f>IF(Q13&gt;='Phase I - Summary'!$D$23,'Phase I - Pro Forma'!R40/'Phase I - Summary'!$D$29)</f>
        <v>384700837.11673117</v>
      </c>
      <c r="R42" s="6">
        <f>IF(R13&gt;='Phase I - Summary'!$D$23,'Phase I - Pro Forma'!S40/'Phase I - Summary'!$D$29)</f>
        <v>394967525.99420112</v>
      </c>
      <c r="S42" s="6">
        <f>IF(S13&gt;='Phase I - Summary'!$D$23,'Phase I - Pro Forma'!T40/'Phase I - Summary'!$D$29)</f>
        <v>405483320.27693492</v>
      </c>
      <c r="T42" s="6">
        <f>IF(T13&gt;='Phase I - Summary'!$D$23,'Phase I - Pro Forma'!U40/'Phase I - Summary'!$D$29)</f>
        <v>416253042.00860316</v>
      </c>
      <c r="U42" s="6">
        <f>IF(U13&gt;='Phase I - Summary'!$D$23,'Phase I - Pro Forma'!V40/'Phase I - Summary'!$D$29)</f>
        <v>427281538.03189015</v>
      </c>
      <c r="V42" s="6">
        <f>IF(V13&gt;='Phase I - Summary'!$D$23,'Phase I - Pro Forma'!W40/'Phase I - Summary'!$D$29)</f>
        <v>438573675.24913931</v>
      </c>
      <c r="W42" s="6">
        <f>IF(W13&gt;='Phase I - Summary'!$D$23,'Phase I - Pro Forma'!X40/'Phase I - Summary'!$D$29)</f>
        <v>450134335.48710364</v>
      </c>
      <c r="X42" s="6">
        <f>IF(X13&gt;='Phase I - Summary'!$D$23,'Phase I - Pro Forma'!Y40/'Phase I - Summary'!$D$29)</f>
        <v>461968409.94206977</v>
      </c>
      <c r="Y42" s="6">
        <f>IF(Y13&gt;='Phase I - Summary'!$D$23,'Phase I - Pro Forma'!Z40/'Phase I - Summary'!$D$29)</f>
        <v>474080793.18037158</v>
      </c>
      <c r="Z42" s="6">
        <f>IF(Z13&gt;='Phase I - Summary'!$D$23,'Phase I - Pro Forma'!AA40/'Phase I - Summary'!$D$29)</f>
        <v>486476376.66796094</v>
      </c>
      <c r="AA42" s="6">
        <f>IF(AA13&gt;='Phase I - Summary'!$D$23,'Phase I - Pro Forma'!AB40/'Phase I - Summary'!$D$29)</f>
        <v>499160041.80131537</v>
      </c>
      <c r="AB42" s="6">
        <f>IF(AB13&gt;='Phase I - Summary'!$D$23,'Phase I - Pro Forma'!AC40/'Phase I - Summary'!$D$29)</f>
        <v>512136652.41047794</v>
      </c>
      <c r="AC42" s="6">
        <f>IF(AC13&gt;='Phase I - Summary'!$D$23,'Phase I - Pro Forma'!AD40/'Phase I - Summary'!$D$29)</f>
        <v>525411046.70349312</v>
      </c>
      <c r="AD42" s="6">
        <f>IF(AD13&gt;='Phase I - Summary'!$D$23,'Phase I - Pro Forma'!AE40/'Phase I - Summary'!$D$29)</f>
        <v>538988028.61986649</v>
      </c>
      <c r="AE42" s="6">
        <f>IF(AE13&gt;='Phase I - Summary'!$D$23,'Phase I - Pro Forma'!AF40/'Phase I - Summary'!$D$29)</f>
        <v>552872358.55897617</v>
      </c>
      <c r="AF42" s="6">
        <f>IF(AF13&gt;='Phase I - Summary'!$D$23,'Phase I - Pro Forma'!AG40/'Phase I - Summary'!$D$29)</f>
        <v>567068743.4475702</v>
      </c>
      <c r="AG42" s="6">
        <f>IF(AG13&gt;='Phase I - Summary'!$D$23,'Phase I - Pro Forma'!AH40/'Phase I - Summary'!$D$29)</f>
        <v>581581826.10860169</v>
      </c>
      <c r="AH42" s="6">
        <f>IF(AH13&gt;='Phase I - Summary'!$D$23,'Phase I - Pro Forma'!AI40/'Phase I - Summary'!$D$29)</f>
        <v>596416173.89167869</v>
      </c>
      <c r="AI42" s="6">
        <f>IF(AI13&gt;='Phase I - Summary'!$D$23,'Phase I - Pro Forma'!AJ40/'Phase I - Summary'!$D$29)</f>
        <v>611576266.52333057</v>
      </c>
      <c r="AJ42" s="6">
        <f>IF(AJ13&gt;='Phase I - Summary'!$D$23,'Phase I - Pro Forma'!AK40/'Phase I - Summary'!$D$29)</f>
        <v>0</v>
      </c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0"/>
      <c r="DF42" s="170"/>
      <c r="DG42" s="170"/>
      <c r="DH42" s="170"/>
      <c r="DI42" s="170"/>
      <c r="DJ42" s="170"/>
      <c r="DK42" s="170"/>
      <c r="DL42" s="170"/>
      <c r="DM42" s="170"/>
      <c r="DN42" s="170"/>
      <c r="DO42" s="170"/>
      <c r="DP42" s="170"/>
      <c r="DQ42" s="170"/>
      <c r="DR42" s="170"/>
      <c r="DS42" s="170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  <c r="EE42" s="170"/>
      <c r="EF42" s="170"/>
      <c r="EG42" s="170"/>
      <c r="EH42" s="170"/>
    </row>
    <row r="43" spans="1:138">
      <c r="B43" t="s">
        <v>405</v>
      </c>
      <c r="F43" s="6">
        <f>-F42*'Phase I - Summary'!$D$30</f>
        <v>0</v>
      </c>
      <c r="G43" s="6">
        <f>-G42*'Phase I - Summary'!$D$30</f>
        <v>0</v>
      </c>
      <c r="H43" s="6">
        <f>-H42*'Phase I - Summary'!$D$30</f>
        <v>0</v>
      </c>
      <c r="I43" s="6">
        <f>-I42*'Phase I - Summary'!$D$30</f>
        <v>0</v>
      </c>
      <c r="J43" s="6">
        <f>-J42*'Phase I - Summary'!$D$30</f>
        <v>0</v>
      </c>
      <c r="K43" s="6">
        <f>-K42*'Phase I - Summary'!$D$30</f>
        <v>-3280660.3628094639</v>
      </c>
      <c r="L43" s="6">
        <f>-L42*'Phase I - Summary'!$D$30</f>
        <v>-3369374.5947454199</v>
      </c>
      <c r="M43" s="6">
        <f>-M42*'Phase I - Summary'!$D$30</f>
        <v>-3460297.9755068785</v>
      </c>
      <c r="N43" s="6">
        <f>-N42*'Phase I - Summary'!$D$30</f>
        <v>-3553476.4370596833</v>
      </c>
      <c r="O43" s="6">
        <f>-O42*'Phase I - Summary'!$D$30</f>
        <v>-3648956.3724177992</v>
      </c>
      <c r="P43" s="6">
        <f>-P42*'Phase I - Summary'!$D$30</f>
        <v>-3746784.6076583886</v>
      </c>
      <c r="Q43" s="6">
        <f>-Q42*'Phase I - Summary'!$D$30</f>
        <v>-3847008.3711673119</v>
      </c>
      <c r="R43" s="6">
        <f>-R42*'Phase I - Summary'!$D$30</f>
        <v>-3949675.2599420114</v>
      </c>
      <c r="S43" s="6">
        <f>-S42*'Phase I - Summary'!$D$30</f>
        <v>-4054833.2027693493</v>
      </c>
      <c r="T43" s="6">
        <f>-T42*'Phase I - Summary'!$D$30</f>
        <v>-4162530.4200860318</v>
      </c>
      <c r="U43" s="6">
        <f>-U42*'Phase I - Summary'!$D$30</f>
        <v>-4272815.3803189015</v>
      </c>
      <c r="V43" s="6">
        <f>-V42*'Phase I - Summary'!$D$30</f>
        <v>-4385736.7524913931</v>
      </c>
      <c r="W43" s="6">
        <f>-W42*'Phase I - Summary'!$D$30</f>
        <v>-4501343.3548710365</v>
      </c>
      <c r="X43" s="6">
        <f>-X42*'Phase I - Summary'!$D$30</f>
        <v>-4619684.0994206974</v>
      </c>
      <c r="Y43" s="6">
        <f>-Y42*'Phase I - Summary'!$D$30</f>
        <v>-4740807.9318037163</v>
      </c>
      <c r="Z43" s="6">
        <f>-Z42*'Phase I - Summary'!$D$30</f>
        <v>-4864763.7666796092</v>
      </c>
      <c r="AA43" s="6">
        <f>-AA42*'Phase I - Summary'!$D$30</f>
        <v>-4991600.4180131536</v>
      </c>
      <c r="AB43" s="6">
        <f>-AB42*'Phase I - Summary'!$D$30</f>
        <v>-5121366.5241047796</v>
      </c>
      <c r="AC43" s="6">
        <f>-AC42*'Phase I - Summary'!$D$30</f>
        <v>-5254110.4670349313</v>
      </c>
      <c r="AD43" s="6">
        <f>-AD42*'Phase I - Summary'!$D$30</f>
        <v>-5389880.2861986654</v>
      </c>
      <c r="AE43" s="6">
        <f>-AE42*'Phase I - Summary'!$D$30</f>
        <v>-5528723.5855897618</v>
      </c>
      <c r="AF43" s="6">
        <f>-AF42*'Phase I - Summary'!$D$30</f>
        <v>-5670687.4344757022</v>
      </c>
      <c r="AG43" s="6">
        <f>-AG42*'Phase I - Summary'!$D$30</f>
        <v>-5815818.2610860169</v>
      </c>
      <c r="AH43" s="6">
        <f>-AH42*'Phase I - Summary'!$D$30</f>
        <v>-5964161.7389167873</v>
      </c>
      <c r="AI43" s="6">
        <f>-AI42*'Phase I - Summary'!$D$30</f>
        <v>-6115762.6652333057</v>
      </c>
      <c r="AJ43" s="6">
        <f>-AJ42*'Phase I - Summary'!$D$30</f>
        <v>0</v>
      </c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  <c r="EE43" s="170"/>
      <c r="EF43" s="170"/>
      <c r="EG43" s="170"/>
      <c r="EH43" s="170"/>
    </row>
    <row r="44" spans="1:138">
      <c r="B44" t="s">
        <v>415</v>
      </c>
      <c r="F44" s="20" t="b">
        <f>IF(F13='Phase I - Summary'!$J$46,SUM('Phase I - Pro Forma'!F42:F43,0))</f>
        <v>0</v>
      </c>
      <c r="G44" s="20" t="b">
        <f>IF(G13='Phase I - Summary'!$J$46,SUM('Phase I - Pro Forma'!G42:G43,0))</f>
        <v>0</v>
      </c>
      <c r="H44" s="20" t="b">
        <f>IF(H13='Phase I - Summary'!$J$46,SUM('Phase I - Pro Forma'!H42:H43,0))</f>
        <v>0</v>
      </c>
      <c r="I44" s="20" t="b">
        <f>IF(I13='Phase I - Summary'!$J$46,SUM('Phase I - Pro Forma'!I42:I43,0))</f>
        <v>0</v>
      </c>
      <c r="J44" s="20" t="b">
        <f>IF(J13='Phase I - Summary'!$J$46,SUM('Phase I - Pro Forma'!J42:J43,0))</f>
        <v>0</v>
      </c>
      <c r="K44" s="20" t="b">
        <f>IF(K13='Phase I - Summary'!$J$46,SUM('Phase I - Pro Forma'!K42:K43,0))</f>
        <v>0</v>
      </c>
      <c r="L44" s="20" t="b">
        <f>IF(L13='Phase I - Summary'!$J$46,SUM('Phase I - Pro Forma'!L42:L43,0))</f>
        <v>0</v>
      </c>
      <c r="M44" s="20" t="b">
        <f>IF(M13='Phase I - Summary'!$J$46,SUM('Phase I - Pro Forma'!M42:M43,0))</f>
        <v>0</v>
      </c>
      <c r="N44" s="20" t="b">
        <f>IF(N13='Phase I - Summary'!$J$46,SUM('Phase I - Pro Forma'!N42:N43,0))</f>
        <v>0</v>
      </c>
      <c r="O44" s="20" t="b">
        <f>IF(O13='Phase I - Summary'!$J$46,SUM('Phase I - Pro Forma'!O42:O43,0))</f>
        <v>0</v>
      </c>
      <c r="P44" s="20" t="b">
        <f>IF(P13='Phase I - Summary'!$J$46,SUM('Phase I - Pro Forma'!P42:P43,0))</f>
        <v>0</v>
      </c>
      <c r="Q44" s="20">
        <f>IF(Q13='Phase I - Summary'!$J$46,SUM('Phase I - Pro Forma'!Q42:Q43,0))</f>
        <v>380853828.74556386</v>
      </c>
      <c r="R44" s="20" t="b">
        <f>IF(R13='Phase I - Summary'!$J$46,SUM('Phase I - Pro Forma'!R42:R43,0))</f>
        <v>0</v>
      </c>
      <c r="S44" s="20" t="b">
        <f>IF(S13='Phase I - Summary'!$J$46,SUM('Phase I - Pro Forma'!S42:S43,0))</f>
        <v>0</v>
      </c>
      <c r="T44" s="20" t="b">
        <f>IF(T13='Phase I - Summary'!$J$46,SUM('Phase I - Pro Forma'!T42:T43,0))</f>
        <v>0</v>
      </c>
      <c r="U44" s="20" t="b">
        <f>IF(U13='Phase I - Summary'!$J$46,SUM('Phase I - Pro Forma'!U42:U43,0))</f>
        <v>0</v>
      </c>
      <c r="V44" s="20" t="b">
        <f>IF(V13='Phase I - Summary'!$J$46,SUM('Phase I - Pro Forma'!V42:V43,0))</f>
        <v>0</v>
      </c>
      <c r="W44" s="20" t="b">
        <f>IF(W13='Phase I - Summary'!$J$46,SUM('Phase I - Pro Forma'!W42:W43,0))</f>
        <v>0</v>
      </c>
      <c r="X44" s="20" t="b">
        <f>IF(X13='Phase I - Summary'!$J$46,SUM('Phase I - Pro Forma'!X42:X43,0))</f>
        <v>0</v>
      </c>
      <c r="Y44" s="20" t="b">
        <f>IF(Y13='Phase I - Summary'!$J$46,SUM('Phase I - Pro Forma'!Y42:Y43,0))</f>
        <v>0</v>
      </c>
      <c r="Z44" s="20" t="b">
        <f>IF(Z13='Phase I - Summary'!$J$46,SUM('Phase I - Pro Forma'!Z42:Z43,0))</f>
        <v>0</v>
      </c>
      <c r="AA44" s="20" t="b">
        <f>IF(AA13='Phase I - Summary'!$J$46,SUM('Phase I - Pro Forma'!AA42:AA43,0))</f>
        <v>0</v>
      </c>
      <c r="AB44" s="20" t="b">
        <f>IF(AB13='Phase I - Summary'!$J$46,SUM('Phase I - Pro Forma'!AB42:AB43,0))</f>
        <v>0</v>
      </c>
      <c r="AC44" s="20" t="b">
        <f>IF(AC13='Phase I - Summary'!$J$46,SUM('Phase I - Pro Forma'!AC42:AC43,0))</f>
        <v>0</v>
      </c>
      <c r="AD44" s="20" t="b">
        <f>IF(AD13='Phase I - Summary'!$J$46,SUM('Phase I - Pro Forma'!AD42:AD43,0))</f>
        <v>0</v>
      </c>
      <c r="AE44" s="20" t="b">
        <f>IF(AE13='Phase I - Summary'!$J$46,SUM('Phase I - Pro Forma'!AE42:AE43,0))</f>
        <v>0</v>
      </c>
      <c r="AF44" s="20" t="b">
        <f>IF(AF13='Phase I - Summary'!$J$46,SUM('Phase I - Pro Forma'!AF42:AF43,0))</f>
        <v>0</v>
      </c>
      <c r="AG44" s="20" t="b">
        <f>IF(AG13='Phase I - Summary'!$J$46,SUM('Phase I - Pro Forma'!AG42:AG43,0))</f>
        <v>0</v>
      </c>
      <c r="AH44" s="20" t="b">
        <f>IF(AH13='Phase I - Summary'!$J$46,SUM('Phase I - Pro Forma'!AH42:AH43,0))</f>
        <v>0</v>
      </c>
      <c r="AI44" s="20" t="b">
        <f>IF(AI13='Phase I - Summary'!$J$46,SUM('Phase I - Pro Forma'!AI42:AI43,0))</f>
        <v>0</v>
      </c>
      <c r="AJ44" s="20" t="b">
        <f>IF(AJ13='Phase I - Summary'!$J$46,SUM('Phase I - Pro Forma'!AJ42:AJ43,0))</f>
        <v>0</v>
      </c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  <c r="EE44" s="170"/>
      <c r="EF44" s="170"/>
      <c r="EG44" s="170"/>
      <c r="EH44" s="170"/>
    </row>
    <row r="46" spans="1:138">
      <c r="B46" t="s">
        <v>416</v>
      </c>
      <c r="D46" s="6">
        <f>SUM(F46:AJ46)</f>
        <v>176872590.10350639</v>
      </c>
      <c r="F46" s="6">
        <f>IF(F13&lt;='Phase I - Summary'!$J$46,F40-F22+F44,0)</f>
        <v>-44629803</v>
      </c>
      <c r="G46" s="6">
        <f>IF(G13&lt;='Phase I - Summary'!$J$46,G40-G22+G44,0)</f>
        <v>0</v>
      </c>
      <c r="H46" s="6">
        <f>IF(H13&lt;='Phase I - Summary'!$J$46,H40-H22+H44,0)</f>
        <v>-86527074.233333334</v>
      </c>
      <c r="I46" s="6">
        <f>IF(I13&lt;='Phase I - Summary'!$J$46,I40-I22+I44,0)</f>
        <v>-86527074.233333334</v>
      </c>
      <c r="J46" s="6">
        <f>IF(J13&lt;='Phase I - Summary'!$J$46,J40-J22+J44,0)</f>
        <v>-86527074.233333334</v>
      </c>
      <c r="K46" s="6">
        <f>IF(K13&lt;='Phase I - Summary'!$J$46,K40-K22+K44,0)</f>
        <v>-17703694.90316423</v>
      </c>
      <c r="L46" s="6">
        <f>IF(L13&lt;='Phase I - Summary'!$J$46,L40-L22+L44,0)</f>
        <v>18371698.031732999</v>
      </c>
      <c r="M46" s="6">
        <f>IF(M13&lt;='Phase I - Summary'!$J$46,M40-M22+M44,0)</f>
        <v>18868497.730574351</v>
      </c>
      <c r="N46" s="6">
        <f>IF(N13&lt;='Phase I - Summary'!$J$46,N40-N22+N44,0)</f>
        <v>19377668.662838519</v>
      </c>
      <c r="O46" s="6">
        <f>IF(O13&lt;='Phase I - Summary'!$J$46,O40-O22+O44,0)</f>
        <v>19899468.047534227</v>
      </c>
      <c r="P46" s="6">
        <f>IF(P13&lt;='Phase I - Summary'!$J$46,P40-P22+P44,0)</f>
        <v>20434155.685539678</v>
      </c>
      <c r="Q46" s="6">
        <f>IF(Q13&lt;='Phase I - Summary'!$J$46,Q40-Q22+Q44,0)</f>
        <v>401835822.54845083</v>
      </c>
      <c r="R46" s="6">
        <f>IF(R13&lt;='Phase I - Summary'!$J$46,R40-R22+R44,0)</f>
        <v>0</v>
      </c>
      <c r="S46" s="6">
        <f>IF(S13&lt;='Phase I - Summary'!$J$46,S40-S22+S44,0)</f>
        <v>0</v>
      </c>
      <c r="T46" s="6">
        <f>IF(T13&lt;='Phase I - Summary'!$J$46,T40-T22+T44,0)</f>
        <v>0</v>
      </c>
      <c r="U46" s="6">
        <f>IF(U13&lt;='Phase I - Summary'!$J$46,U40-U22+U44,0)</f>
        <v>0</v>
      </c>
      <c r="V46" s="6">
        <f>IF(V13&lt;='Phase I - Summary'!$J$46,V40-V22+V44,0)</f>
        <v>0</v>
      </c>
      <c r="W46" s="6">
        <f>IF(W13&lt;='Phase I - Summary'!$J$46,W40-W22+W44,0)</f>
        <v>0</v>
      </c>
      <c r="X46" s="6">
        <f>IF(X13&lt;='Phase I - Summary'!$J$46,X40-X22+X44,0)</f>
        <v>0</v>
      </c>
      <c r="Y46" s="6">
        <f>IF(Y13&lt;='Phase I - Summary'!$J$46,Y40-Y22+Y44,0)</f>
        <v>0</v>
      </c>
      <c r="Z46" s="6">
        <f>IF(Z13&lt;='Phase I - Summary'!$J$46,Z40-Z22+Z44,0)</f>
        <v>0</v>
      </c>
      <c r="AA46" s="6">
        <f>IF(AA13&lt;='Phase I - Summary'!$J$46,AA40-AA22+AA44,0)</f>
        <v>0</v>
      </c>
      <c r="AB46" s="6">
        <f>IF(AB13&lt;='Phase I - Summary'!$J$46,AB40-AB22+AB44,0)</f>
        <v>0</v>
      </c>
      <c r="AC46" s="6">
        <f>IF(AC13&lt;='Phase I - Summary'!$J$46,AC40-AC22+AC44,0)</f>
        <v>0</v>
      </c>
      <c r="AD46" s="6">
        <f>IF(AD13&lt;='Phase I - Summary'!$J$46,AD40-AD22+AD44,0)</f>
        <v>0</v>
      </c>
      <c r="AE46" s="6">
        <f>IF(AE13&lt;='Phase I - Summary'!$J$46,AE40-AE22+AE44,0)</f>
        <v>0</v>
      </c>
      <c r="AF46" s="6">
        <f>IF(AF13&lt;='Phase I - Summary'!$J$46,AF40-AF22+AF44,0)</f>
        <v>0</v>
      </c>
      <c r="AG46" s="6">
        <f>IF(AG13&lt;='Phase I - Summary'!$J$46,AG40-AG22+AG44,0)</f>
        <v>0</v>
      </c>
      <c r="AH46" s="6">
        <f>IF(AH13&lt;='Phase I - Summary'!$J$46,AH40-AH22+AH44,0)</f>
        <v>0</v>
      </c>
      <c r="AI46" s="6">
        <f>IF(AI13&lt;='Phase I - Summary'!$J$46,AI40-AI22+AI44,0)</f>
        <v>0</v>
      </c>
      <c r="AJ46" s="6">
        <f>IF(AJ13&lt;='Phase I - Summary'!$J$46,AJ40-AJ22+AJ44,0)</f>
        <v>0</v>
      </c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  <c r="EE46" s="170"/>
      <c r="EF46" s="170"/>
      <c r="EG46" s="170"/>
      <c r="EH46" s="170"/>
    </row>
    <row r="47" spans="1:138" ht="13.8" thickBot="1"/>
    <row r="48" spans="1:138" ht="14.4">
      <c r="B48" s="433" t="s">
        <v>417</v>
      </c>
      <c r="C48" s="434"/>
      <c r="D48" s="440">
        <f>IRR(F46:AJ46)</f>
        <v>5.8239760975121069E-2</v>
      </c>
    </row>
    <row r="49" spans="2:138" ht="15" thickBot="1">
      <c r="B49" s="435" t="s">
        <v>418</v>
      </c>
      <c r="C49" s="436"/>
      <c r="D49" s="441">
        <f>-SUMIF(F46:DV46,"&gt;0")/SUMIF(F46:DV46,"&lt;0")</f>
        <v>1.5494392731469511</v>
      </c>
    </row>
    <row r="50" spans="2:138">
      <c r="D50" s="3"/>
    </row>
    <row r="51" spans="2:138" ht="14.4">
      <c r="B51" s="9" t="s">
        <v>419</v>
      </c>
      <c r="D51" s="16" t="s">
        <v>16</v>
      </c>
    </row>
    <row r="52" spans="2:138">
      <c r="B52" s="30" t="s">
        <v>420</v>
      </c>
      <c r="D52" s="3"/>
      <c r="F52" s="6">
        <f ca="1">'Phase I - Summary'!H24</f>
        <v>58864588.807418227</v>
      </c>
      <c r="G52" s="6">
        <f ca="1">F54</f>
        <v>14234785.807418227</v>
      </c>
      <c r="H52" s="6">
        <f t="shared" ref="H52:R52" ca="1" si="26">G54</f>
        <v>14234785.807418287</v>
      </c>
      <c r="I52" s="6">
        <f t="shared" ca="1" si="26"/>
        <v>0</v>
      </c>
      <c r="J52" s="6">
        <f t="shared" ca="1" si="26"/>
        <v>0</v>
      </c>
      <c r="K52" s="6">
        <f t="shared" ca="1" si="26"/>
        <v>0</v>
      </c>
      <c r="L52" s="6">
        <f t="shared" ca="1" si="26"/>
        <v>0</v>
      </c>
      <c r="M52" s="6">
        <f t="shared" ca="1" si="26"/>
        <v>0</v>
      </c>
      <c r="N52" s="6">
        <f t="shared" ca="1" si="26"/>
        <v>0</v>
      </c>
      <c r="O52" s="6">
        <f t="shared" ca="1" si="26"/>
        <v>0</v>
      </c>
      <c r="P52" s="6">
        <f t="shared" ca="1" si="26"/>
        <v>0</v>
      </c>
      <c r="Q52" s="6">
        <f t="shared" ca="1" si="26"/>
        <v>0</v>
      </c>
      <c r="R52" s="6">
        <f t="shared" ca="1" si="26"/>
        <v>0</v>
      </c>
      <c r="S52" s="6">
        <f t="shared" ref="S52:AD52" ca="1" si="27">R54</f>
        <v>0</v>
      </c>
      <c r="T52" s="6">
        <f t="shared" ca="1" si="27"/>
        <v>0</v>
      </c>
      <c r="U52" s="6">
        <f t="shared" ca="1" si="27"/>
        <v>0</v>
      </c>
      <c r="V52" s="6">
        <f t="shared" ca="1" si="27"/>
        <v>0</v>
      </c>
      <c r="W52" s="6">
        <f t="shared" ca="1" si="27"/>
        <v>0</v>
      </c>
      <c r="X52" s="6">
        <f t="shared" ca="1" si="27"/>
        <v>0</v>
      </c>
      <c r="Y52" s="6">
        <f t="shared" ca="1" si="27"/>
        <v>0</v>
      </c>
      <c r="Z52" s="6">
        <f t="shared" ca="1" si="27"/>
        <v>0</v>
      </c>
      <c r="AA52" s="6">
        <f t="shared" ca="1" si="27"/>
        <v>0</v>
      </c>
      <c r="AB52" s="6">
        <f t="shared" ca="1" si="27"/>
        <v>0</v>
      </c>
      <c r="AC52" s="6">
        <f t="shared" ca="1" si="27"/>
        <v>0</v>
      </c>
      <c r="AD52" s="6">
        <f t="shared" ca="1" si="27"/>
        <v>0</v>
      </c>
      <c r="AE52" s="6">
        <f t="shared" ref="AE52:AJ52" ca="1" si="28">AD54</f>
        <v>0</v>
      </c>
      <c r="AF52" s="6">
        <f t="shared" ca="1" si="28"/>
        <v>0</v>
      </c>
      <c r="AG52" s="6">
        <f t="shared" ca="1" si="28"/>
        <v>0</v>
      </c>
      <c r="AH52" s="6">
        <f t="shared" ca="1" si="28"/>
        <v>0</v>
      </c>
      <c r="AI52" s="6">
        <f t="shared" ca="1" si="28"/>
        <v>0</v>
      </c>
      <c r="AJ52" s="6">
        <f t="shared" ca="1" si="28"/>
        <v>0</v>
      </c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0"/>
      <c r="DF52" s="170"/>
      <c r="DG52" s="170"/>
      <c r="DH52" s="170"/>
      <c r="DI52" s="170"/>
      <c r="DJ52" s="170"/>
      <c r="DK52" s="170"/>
      <c r="DL52" s="170"/>
      <c r="DM52" s="170"/>
      <c r="DN52" s="170"/>
      <c r="DO52" s="170"/>
      <c r="DP52" s="170"/>
      <c r="DQ52" s="170"/>
      <c r="DR52" s="170"/>
      <c r="DS52" s="170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  <c r="EE52" s="170"/>
      <c r="EF52" s="170"/>
      <c r="EG52" s="170"/>
      <c r="EH52" s="170"/>
    </row>
    <row r="53" spans="2:138">
      <c r="B53" s="30" t="s">
        <v>421</v>
      </c>
      <c r="D53" s="19">
        <f ca="1">SUM(F53:DV53)</f>
        <v>58864588.807418287</v>
      </c>
      <c r="F53" s="6">
        <f t="shared" ref="F53:AJ53" ca="1" si="29">MIN(F52,ABS(F46))</f>
        <v>44629803</v>
      </c>
      <c r="G53" s="6">
        <f t="shared" ca="1" si="29"/>
        <v>0</v>
      </c>
      <c r="H53" s="6">
        <f t="shared" ca="1" si="29"/>
        <v>14234785.807418287</v>
      </c>
      <c r="I53" s="6">
        <f t="shared" ca="1" si="29"/>
        <v>0</v>
      </c>
      <c r="J53" s="6">
        <f t="shared" ca="1" si="29"/>
        <v>0</v>
      </c>
      <c r="K53" s="6">
        <f t="shared" ca="1" si="29"/>
        <v>0</v>
      </c>
      <c r="L53" s="6">
        <f t="shared" ca="1" si="29"/>
        <v>0</v>
      </c>
      <c r="M53" s="6">
        <f t="shared" ca="1" si="29"/>
        <v>0</v>
      </c>
      <c r="N53" s="6">
        <f t="shared" ca="1" si="29"/>
        <v>0</v>
      </c>
      <c r="O53" s="6">
        <f t="shared" ca="1" si="29"/>
        <v>0</v>
      </c>
      <c r="P53" s="6">
        <f t="shared" ca="1" si="29"/>
        <v>0</v>
      </c>
      <c r="Q53" s="6">
        <f t="shared" ca="1" si="29"/>
        <v>0</v>
      </c>
      <c r="R53" s="6">
        <f t="shared" ca="1" si="29"/>
        <v>0</v>
      </c>
      <c r="S53" s="6">
        <f t="shared" ca="1" si="29"/>
        <v>0</v>
      </c>
      <c r="T53" s="6">
        <f t="shared" ca="1" si="29"/>
        <v>0</v>
      </c>
      <c r="U53" s="6">
        <f t="shared" ca="1" si="29"/>
        <v>0</v>
      </c>
      <c r="V53" s="6">
        <f t="shared" ca="1" si="29"/>
        <v>0</v>
      </c>
      <c r="W53" s="6">
        <f t="shared" ca="1" si="29"/>
        <v>0</v>
      </c>
      <c r="X53" s="6">
        <f t="shared" ca="1" si="29"/>
        <v>0</v>
      </c>
      <c r="Y53" s="6">
        <f t="shared" ca="1" si="29"/>
        <v>0</v>
      </c>
      <c r="Z53" s="6">
        <f t="shared" ca="1" si="29"/>
        <v>0</v>
      </c>
      <c r="AA53" s="6">
        <f t="shared" ca="1" si="29"/>
        <v>0</v>
      </c>
      <c r="AB53" s="6">
        <f t="shared" ca="1" si="29"/>
        <v>0</v>
      </c>
      <c r="AC53" s="6">
        <f t="shared" ca="1" si="29"/>
        <v>0</v>
      </c>
      <c r="AD53" s="6">
        <f t="shared" ca="1" si="29"/>
        <v>0</v>
      </c>
      <c r="AE53" s="6">
        <f t="shared" ca="1" si="29"/>
        <v>0</v>
      </c>
      <c r="AF53" s="6">
        <f t="shared" ca="1" si="29"/>
        <v>0</v>
      </c>
      <c r="AG53" s="6">
        <f t="shared" ca="1" si="29"/>
        <v>0</v>
      </c>
      <c r="AH53" s="6">
        <f t="shared" ca="1" si="29"/>
        <v>0</v>
      </c>
      <c r="AI53" s="6">
        <f t="shared" ca="1" si="29"/>
        <v>0</v>
      </c>
      <c r="AJ53" s="6">
        <f t="shared" ca="1" si="29"/>
        <v>0</v>
      </c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  <c r="EE53" s="170"/>
      <c r="EF53" s="170"/>
      <c r="EG53" s="170"/>
      <c r="EH53" s="170"/>
    </row>
    <row r="54" spans="2:138">
      <c r="B54" s="30" t="s">
        <v>422</v>
      </c>
      <c r="D54" s="3"/>
      <c r="F54" s="6">
        <f ca="1">MAX(F52-F53,0)</f>
        <v>14234785.807418227</v>
      </c>
      <c r="G54" s="6">
        <f t="shared" ref="G54" ca="1" si="30">MAX(G52-G53,0)</f>
        <v>14234785.807418227</v>
      </c>
      <c r="H54" s="6">
        <f t="shared" ref="H54:R54" ca="1" si="31">MAX(H52-H53,0)</f>
        <v>0</v>
      </c>
      <c r="I54" s="6">
        <f t="shared" ca="1" si="31"/>
        <v>0</v>
      </c>
      <c r="J54" s="6">
        <f t="shared" ca="1" si="31"/>
        <v>0</v>
      </c>
      <c r="K54" s="6">
        <f t="shared" ca="1" si="31"/>
        <v>0</v>
      </c>
      <c r="L54" s="6">
        <f t="shared" ca="1" si="31"/>
        <v>0</v>
      </c>
      <c r="M54" s="6">
        <f t="shared" ca="1" si="31"/>
        <v>0</v>
      </c>
      <c r="N54" s="6">
        <f t="shared" ca="1" si="31"/>
        <v>0</v>
      </c>
      <c r="O54" s="6">
        <f t="shared" ca="1" si="31"/>
        <v>0</v>
      </c>
      <c r="P54" s="6">
        <f t="shared" ca="1" si="31"/>
        <v>0</v>
      </c>
      <c r="Q54" s="6">
        <f t="shared" ca="1" si="31"/>
        <v>0</v>
      </c>
      <c r="R54" s="6">
        <f t="shared" ca="1" si="31"/>
        <v>0</v>
      </c>
      <c r="S54" s="6">
        <f t="shared" ref="S54:AD54" ca="1" si="32">MAX(S52-S53,0)</f>
        <v>0</v>
      </c>
      <c r="T54" s="6">
        <f t="shared" ca="1" si="32"/>
        <v>0</v>
      </c>
      <c r="U54" s="6">
        <f t="shared" ca="1" si="32"/>
        <v>0</v>
      </c>
      <c r="V54" s="6">
        <f t="shared" ca="1" si="32"/>
        <v>0</v>
      </c>
      <c r="W54" s="6">
        <f t="shared" ca="1" si="32"/>
        <v>0</v>
      </c>
      <c r="X54" s="6">
        <f t="shared" ca="1" si="32"/>
        <v>0</v>
      </c>
      <c r="Y54" s="6">
        <f t="shared" ca="1" si="32"/>
        <v>0</v>
      </c>
      <c r="Z54" s="6">
        <f t="shared" ca="1" si="32"/>
        <v>0</v>
      </c>
      <c r="AA54" s="6">
        <f t="shared" ca="1" si="32"/>
        <v>0</v>
      </c>
      <c r="AB54" s="6">
        <f t="shared" ca="1" si="32"/>
        <v>0</v>
      </c>
      <c r="AC54" s="6">
        <f t="shared" ca="1" si="32"/>
        <v>0</v>
      </c>
      <c r="AD54" s="6">
        <f t="shared" ca="1" si="32"/>
        <v>0</v>
      </c>
      <c r="AE54" s="6">
        <f t="shared" ref="AE54:AJ54" ca="1" si="33">MAX(AE52-AE53,0)</f>
        <v>0</v>
      </c>
      <c r="AF54" s="6">
        <f t="shared" ca="1" si="33"/>
        <v>0</v>
      </c>
      <c r="AG54" s="6">
        <f t="shared" ca="1" si="33"/>
        <v>0</v>
      </c>
      <c r="AH54" s="6">
        <f t="shared" ca="1" si="33"/>
        <v>0</v>
      </c>
      <c r="AI54" s="6">
        <f t="shared" ca="1" si="33"/>
        <v>0</v>
      </c>
      <c r="AJ54" s="6">
        <f t="shared" ca="1" si="33"/>
        <v>0</v>
      </c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  <c r="DK54" s="170"/>
      <c r="DL54" s="170"/>
      <c r="DM54" s="170"/>
      <c r="DN54" s="170"/>
      <c r="DO54" s="170"/>
      <c r="DP54" s="170"/>
      <c r="DQ54" s="170"/>
      <c r="DR54" s="170"/>
      <c r="DS54" s="170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  <c r="EE54" s="170"/>
      <c r="EF54" s="170"/>
      <c r="EG54" s="170"/>
      <c r="EH54" s="170"/>
    </row>
    <row r="55" spans="2:138">
      <c r="D55" s="3"/>
    </row>
    <row r="56" spans="2:138">
      <c r="B56" t="s">
        <v>423</v>
      </c>
      <c r="D56" s="3"/>
      <c r="F56" s="6">
        <f t="shared" ref="F56:AJ56" ca="1" si="34">F40-F22+F44+F53</f>
        <v>0</v>
      </c>
      <c r="G56" s="6">
        <f t="shared" ca="1" si="34"/>
        <v>0</v>
      </c>
      <c r="H56" s="6">
        <f t="shared" ca="1" si="34"/>
        <v>-72292288.425915048</v>
      </c>
      <c r="I56" s="6">
        <f t="shared" ca="1" si="34"/>
        <v>-86527074.233333334</v>
      </c>
      <c r="J56" s="6">
        <f t="shared" ca="1" si="34"/>
        <v>-86527074.233333334</v>
      </c>
      <c r="K56" s="6">
        <f t="shared" ca="1" si="34"/>
        <v>-17703694.90316423</v>
      </c>
      <c r="L56" s="6">
        <f t="shared" ca="1" si="34"/>
        <v>18371698.031732999</v>
      </c>
      <c r="M56" s="6">
        <f t="shared" ca="1" si="34"/>
        <v>18868497.730574351</v>
      </c>
      <c r="N56" s="6">
        <f t="shared" ca="1" si="34"/>
        <v>19377668.662838519</v>
      </c>
      <c r="O56" s="6">
        <f t="shared" ca="1" si="34"/>
        <v>19899468.047534227</v>
      </c>
      <c r="P56" s="6">
        <f t="shared" ca="1" si="34"/>
        <v>20434155.685539678</v>
      </c>
      <c r="Q56" s="6">
        <f t="shared" ca="1" si="34"/>
        <v>401835822.54845083</v>
      </c>
      <c r="R56" s="6">
        <f t="shared" ca="1" si="34"/>
        <v>21543246.878536947</v>
      </c>
      <c r="S56" s="6">
        <f t="shared" ca="1" si="34"/>
        <v>22118181.455675263</v>
      </c>
      <c r="T56" s="6">
        <f t="shared" ca="1" si="34"/>
        <v>22707065.935508355</v>
      </c>
      <c r="U56" s="6">
        <f t="shared" ca="1" si="34"/>
        <v>23310170.352481779</v>
      </c>
      <c r="V56" s="6">
        <f t="shared" ca="1" si="34"/>
        <v>23927766.129785851</v>
      </c>
      <c r="W56" s="6">
        <f t="shared" ca="1" si="34"/>
        <v>24560125.813951802</v>
      </c>
      <c r="X56" s="6">
        <f t="shared" ca="1" si="34"/>
        <v>25207522.787277803</v>
      </c>
      <c r="Y56" s="6">
        <f t="shared" ca="1" si="34"/>
        <v>25870230.956755906</v>
      </c>
      <c r="Z56" s="6">
        <f t="shared" ca="1" si="34"/>
        <v>26548524.418100808</v>
      </c>
      <c r="AA56" s="6">
        <f t="shared" ca="1" si="34"/>
        <v>27242677.093405813</v>
      </c>
      <c r="AB56" s="6">
        <f t="shared" ca="1" si="34"/>
        <v>27952962.340873662</v>
      </c>
      <c r="AC56" s="6">
        <f t="shared" ca="1" si="34"/>
        <v>28679652.534986764</v>
      </c>
      <c r="AD56" s="6">
        <f t="shared" ca="1" si="34"/>
        <v>29423018.615395617</v>
      </c>
      <c r="AE56" s="6">
        <f t="shared" ca="1" si="34"/>
        <v>30183329.602712523</v>
      </c>
      <c r="AF56" s="6">
        <f t="shared" ca="1" si="34"/>
        <v>30960852.079302669</v>
      </c>
      <c r="AG56" s="6">
        <f t="shared" ca="1" si="34"/>
        <v>31755849.633063935</v>
      </c>
      <c r="AH56" s="6">
        <f t="shared" ca="1" si="34"/>
        <v>32568582.262081694</v>
      </c>
      <c r="AI56" s="6">
        <f t="shared" ca="1" si="34"/>
        <v>33399305.737934008</v>
      </c>
      <c r="AJ56" s="6">
        <f t="shared" ca="1" si="34"/>
        <v>34248270.925306514</v>
      </c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0"/>
      <c r="DF56" s="170"/>
      <c r="DG56" s="170"/>
      <c r="DH56" s="170"/>
      <c r="DI56" s="170"/>
      <c r="DJ56" s="170"/>
      <c r="DK56" s="170"/>
      <c r="DL56" s="170"/>
      <c r="DM56" s="170"/>
      <c r="DN56" s="170"/>
      <c r="DO56" s="170"/>
      <c r="DP56" s="170"/>
      <c r="DQ56" s="170"/>
      <c r="DR56" s="170"/>
      <c r="DS56" s="170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  <c r="EE56" s="170"/>
      <c r="EF56" s="170"/>
      <c r="EG56" s="170"/>
      <c r="EH56" s="170"/>
    </row>
    <row r="57" spans="2:138">
      <c r="D57" s="3"/>
    </row>
    <row r="58" spans="2:138" ht="14.4">
      <c r="B58" s="9" t="s">
        <v>424</v>
      </c>
      <c r="D58" s="3"/>
    </row>
    <row r="59" spans="2:138">
      <c r="B59" t="s">
        <v>425</v>
      </c>
      <c r="D59" s="3"/>
      <c r="F59" s="168">
        <f>E64</f>
        <v>0</v>
      </c>
      <c r="G59" s="168">
        <f t="shared" ref="G59:R59" ca="1" si="35">F64</f>
        <v>0</v>
      </c>
      <c r="H59" s="168">
        <f t="shared" ca="1" si="35"/>
        <v>0</v>
      </c>
      <c r="I59" s="168">
        <f t="shared" ca="1" si="35"/>
        <v>74468267.754017115</v>
      </c>
      <c r="J59" s="168">
        <f t="shared" ca="1" si="35"/>
        <v>166319823.1317628</v>
      </c>
      <c r="K59" s="168">
        <f t="shared" ca="1" si="35"/>
        <v>264738764.71901721</v>
      </c>
      <c r="L59" s="168">
        <f t="shared" ca="1" si="35"/>
        <v>17703694.903164208</v>
      </c>
      <c r="M59" s="168">
        <f t="shared" ca="1" si="35"/>
        <v>18969509.088740449</v>
      </c>
      <c r="N59" s="168">
        <f t="shared" ca="1" si="35"/>
        <v>20325828.98858539</v>
      </c>
      <c r="O59" s="168">
        <f t="shared" ca="1" si="35"/>
        <v>21779125.761269245</v>
      </c>
      <c r="P59" s="168">
        <f t="shared" ca="1" si="35"/>
        <v>23336333.253199995</v>
      </c>
      <c r="Q59" s="168">
        <f t="shared" ca="1" si="35"/>
        <v>25004881.080803793</v>
      </c>
      <c r="R59" s="168">
        <f t="shared" ca="1" si="35"/>
        <v>26792730.078081265</v>
      </c>
      <c r="S59" s="168">
        <f t="shared" ref="S59" ca="1" si="36">R64</f>
        <v>28708410.278664075</v>
      </c>
      <c r="T59" s="168">
        <f t="shared" ref="T59" ca="1" si="37">S64</f>
        <v>30761061.613588557</v>
      </c>
      <c r="U59" s="168">
        <f t="shared" ref="U59" ca="1" si="38">T64</f>
        <v>32960477.518960141</v>
      </c>
      <c r="V59" s="168">
        <f t="shared" ref="V59" ca="1" si="39">U64</f>
        <v>35317151.661565788</v>
      </c>
      <c r="W59" s="168">
        <f t="shared" ref="W59" ca="1" si="40">V64</f>
        <v>37842328.005367741</v>
      </c>
      <c r="X59" s="168">
        <f t="shared" ref="X59" ca="1" si="41">W64</f>
        <v>40548054.457751535</v>
      </c>
      <c r="Y59" s="168">
        <f t="shared" ref="Y59" ca="1" si="42">X64</f>
        <v>43447240.351480767</v>
      </c>
      <c r="Z59" s="168">
        <f t="shared" ref="Z59" ca="1" si="43">Y64</f>
        <v>46553718.036611639</v>
      </c>
      <c r="AA59" s="168">
        <f t="shared" ref="AA59" ca="1" si="44">Z64</f>
        <v>49882308.876229368</v>
      </c>
      <c r="AB59" s="168">
        <f t="shared" ref="AB59" ca="1" si="45">AA64</f>
        <v>53448893.960879765</v>
      </c>
      <c r="AC59" s="168">
        <f t="shared" ref="AC59" ca="1" si="46">AB64</f>
        <v>57270489.879082672</v>
      </c>
      <c r="AD59" s="168">
        <f t="shared" ref="AD59" ca="1" si="47">AC64</f>
        <v>61365329.905437082</v>
      </c>
      <c r="AE59" s="168">
        <f t="shared" ref="AE59" ca="1" si="48">AD64</f>
        <v>65752950.993675835</v>
      </c>
      <c r="AF59" s="168">
        <f t="shared" ref="AF59" ca="1" si="49">AE64</f>
        <v>70454286.989723653</v>
      </c>
      <c r="AG59" s="168">
        <f t="shared" ref="AG59" ca="1" si="50">AF64</f>
        <v>75491768.509488896</v>
      </c>
      <c r="AH59" s="168">
        <f t="shared" ref="AH59" ca="1" si="51">AG64</f>
        <v>80889429.957917348</v>
      </c>
      <c r="AI59" s="168">
        <f t="shared" ref="AI59" ca="1" si="52">AH64</f>
        <v>86673024.199908435</v>
      </c>
      <c r="AJ59" s="168">
        <f t="shared" ref="AJ59" ca="1" si="53">AI64</f>
        <v>92870145.430201888</v>
      </c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  <c r="EE59" s="170"/>
      <c r="EF59" s="170"/>
      <c r="EG59" s="170"/>
      <c r="EH59" s="170"/>
    </row>
    <row r="60" spans="2:138">
      <c r="B60" t="s">
        <v>426</v>
      </c>
      <c r="D60" s="19">
        <f ca="1">SUM(F60:R60)</f>
        <v>2175979.3281020699</v>
      </c>
      <c r="F60" s="168">
        <f>IF(F13='Phase I - Summary'!$D$21,'Phase I - Summary'!$J$38*'Phase I - Summary'!$J$37,0)</f>
        <v>0</v>
      </c>
      <c r="G60" s="168">
        <f>IF(G13='Phase I - Summary'!$D$21,'Phase I - Summary'!$J$38*'Phase I - Summary'!$J$37,0)</f>
        <v>0</v>
      </c>
      <c r="H60" s="168">
        <f ca="1">IF(H13='Phase I - Summary'!$D$21,'Phase I - Summary'!$J$38*'Phase I - Summary'!$J$37,0)</f>
        <v>2175979.3281020699</v>
      </c>
      <c r="I60" s="168">
        <f>IF(I13='Phase I - Summary'!$D$21,'Phase I - Summary'!$J$38*'Phase I - Summary'!$J$37,0)</f>
        <v>0</v>
      </c>
      <c r="J60" s="168">
        <f>IF(J13='Phase I - Summary'!$D$21,'Phase I - Summary'!$J$38*'Phase I - Summary'!$J$37,0)</f>
        <v>0</v>
      </c>
      <c r="K60" s="168">
        <f>IF(K13='Phase I - Summary'!$D$21,'Phase I - Summary'!$J$38*'Phase I - Summary'!$J$37,0)</f>
        <v>0</v>
      </c>
      <c r="L60" s="168">
        <f>IF(L13='Phase I - Summary'!$D$21,'Phase I - Summary'!$J$38*'Phase I - Summary'!$J$37,0)</f>
        <v>0</v>
      </c>
      <c r="M60" s="168">
        <f>IF(M13='Phase I - Summary'!$D$21,'Phase I - Summary'!$J$38*'Phase I - Summary'!$J$37,0)</f>
        <v>0</v>
      </c>
      <c r="N60" s="168">
        <f>IF(N13='Phase I - Summary'!$D$21,'Phase I - Summary'!$J$38*'Phase I - Summary'!$J$37,0)</f>
        <v>0</v>
      </c>
      <c r="O60" s="168">
        <f>IF(O13='Phase I - Summary'!$D$21,'Phase I - Summary'!$J$38*'Phase I - Summary'!$J$37,0)</f>
        <v>0</v>
      </c>
      <c r="P60" s="168">
        <f>IF(P13='Phase I - Summary'!$D$21,'Phase I - Summary'!$J$38*'Phase I - Summary'!$J$37,0)</f>
        <v>0</v>
      </c>
      <c r="Q60" s="168">
        <f>IF(Q13='Phase I - Summary'!$D$21,'Phase I - Summary'!$J$38*'Phase I - Summary'!$J$37,0)</f>
        <v>0</v>
      </c>
      <c r="R60" s="168">
        <f>IF(R13='Phase I - Summary'!$D$21,'Phase I - Summary'!$J$38*'Phase I - Summary'!$J$37,0)</f>
        <v>0</v>
      </c>
      <c r="S60" s="168">
        <f>IF(S13='Phase I - Summary'!$D$21,'Phase I - Summary'!$J$38*'Phase I - Summary'!$J$37,0)</f>
        <v>0</v>
      </c>
      <c r="T60" s="168">
        <f>IF(T13='Phase I - Summary'!$D$21,'Phase I - Summary'!$J$38*'Phase I - Summary'!$J$37,0)</f>
        <v>0</v>
      </c>
      <c r="U60" s="168">
        <f>IF(U13='Phase I - Summary'!$D$21,'Phase I - Summary'!$J$38*'Phase I - Summary'!$J$37,0)</f>
        <v>0</v>
      </c>
      <c r="V60" s="168">
        <f>IF(V13='Phase I - Summary'!$D$21,'Phase I - Summary'!$J$38*'Phase I - Summary'!$J$37,0)</f>
        <v>0</v>
      </c>
      <c r="W60" s="168">
        <f>IF(W13='Phase I - Summary'!$D$21,'Phase I - Summary'!$J$38*'Phase I - Summary'!$J$37,0)</f>
        <v>0</v>
      </c>
      <c r="X60" s="168">
        <f>IF(X13='Phase I - Summary'!$D$21,'Phase I - Summary'!$J$38*'Phase I - Summary'!$J$37,0)</f>
        <v>0</v>
      </c>
      <c r="Y60" s="168">
        <f>IF(Y13='Phase I - Summary'!$D$21,'Phase I - Summary'!$J$38*'Phase I - Summary'!$J$37,0)</f>
        <v>0</v>
      </c>
      <c r="Z60" s="168">
        <f>IF(Z13='Phase I - Summary'!$D$21,'Phase I - Summary'!$J$38*'Phase I - Summary'!$J$37,0)</f>
        <v>0</v>
      </c>
      <c r="AA60" s="168">
        <f>IF(AA13='Phase I - Summary'!$D$21,'Phase I - Summary'!$J$38*'Phase I - Summary'!$J$37,0)</f>
        <v>0</v>
      </c>
      <c r="AB60" s="168">
        <f>IF(AB13='Phase I - Summary'!$D$21,'Phase I - Summary'!$J$38*'Phase I - Summary'!$J$37,0)</f>
        <v>0</v>
      </c>
      <c r="AC60" s="168">
        <f>IF(AC13='Phase I - Summary'!$D$21,'Phase I - Summary'!$J$38*'Phase I - Summary'!$J$37,0)</f>
        <v>0</v>
      </c>
      <c r="AD60" s="168">
        <f>IF(AD13='Phase I - Summary'!$D$21,'Phase I - Summary'!$J$38*'Phase I - Summary'!$J$37,0)</f>
        <v>0</v>
      </c>
      <c r="AE60" s="168">
        <f>IF(AE13='Phase I - Summary'!$D$21,'Phase I - Summary'!$J$38*'Phase I - Summary'!$J$37,0)</f>
        <v>0</v>
      </c>
      <c r="AF60" s="168">
        <f>IF(AF13='Phase I - Summary'!$D$21,'Phase I - Summary'!$J$38*'Phase I - Summary'!$J$37,0)</f>
        <v>0</v>
      </c>
      <c r="AG60" s="168">
        <f>IF(AG13='Phase I - Summary'!$D$21,'Phase I - Summary'!$J$38*'Phase I - Summary'!$J$37,0)</f>
        <v>0</v>
      </c>
      <c r="AH60" s="168">
        <f>IF(AH13='Phase I - Summary'!$D$21,'Phase I - Summary'!$J$38*'Phase I - Summary'!$J$37,0)</f>
        <v>0</v>
      </c>
      <c r="AI60" s="168">
        <f>IF(AI13='Phase I - Summary'!$D$21,'Phase I - Summary'!$J$38*'Phase I - Summary'!$J$37,0)</f>
        <v>0</v>
      </c>
      <c r="AJ60" s="168">
        <f>IF(AJ13='Phase I - Summary'!$D$21,'Phase I - Summary'!$J$38*'Phase I - Summary'!$J$37,0)</f>
        <v>0</v>
      </c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  <c r="EE60" s="170"/>
      <c r="EF60" s="170"/>
      <c r="EG60" s="170"/>
      <c r="EH60" s="170"/>
    </row>
    <row r="61" spans="2:138">
      <c r="B61" t="s">
        <v>427</v>
      </c>
      <c r="D61" s="19">
        <f t="shared" ref="D61:D62" ca="1" si="54">SUM(F61:R61)</f>
        <v>263050131.79574594</v>
      </c>
      <c r="F61" s="168">
        <f ca="1">MAX(-F56,0)</f>
        <v>0</v>
      </c>
      <c r="G61" s="168">
        <f t="shared" ref="G61:R61" ca="1" si="55">MAX(-G56,0)</f>
        <v>0</v>
      </c>
      <c r="H61" s="168">
        <f t="shared" ca="1" si="55"/>
        <v>72292288.425915048</v>
      </c>
      <c r="I61" s="168">
        <f t="shared" ca="1" si="55"/>
        <v>86527074.233333334</v>
      </c>
      <c r="J61" s="168">
        <f t="shared" ca="1" si="55"/>
        <v>86527074.233333334</v>
      </c>
      <c r="K61" s="168">
        <f t="shared" ca="1" si="55"/>
        <v>17703694.90316423</v>
      </c>
      <c r="L61" s="168">
        <f t="shared" ca="1" si="55"/>
        <v>0</v>
      </c>
      <c r="M61" s="168">
        <f t="shared" ca="1" si="55"/>
        <v>0</v>
      </c>
      <c r="N61" s="168">
        <f t="shared" ca="1" si="55"/>
        <v>0</v>
      </c>
      <c r="O61" s="168">
        <f t="shared" ca="1" si="55"/>
        <v>0</v>
      </c>
      <c r="P61" s="168">
        <f t="shared" ca="1" si="55"/>
        <v>0</v>
      </c>
      <c r="Q61" s="168">
        <f t="shared" ca="1" si="55"/>
        <v>0</v>
      </c>
      <c r="R61" s="168">
        <f t="shared" ca="1" si="55"/>
        <v>0</v>
      </c>
      <c r="S61" s="168">
        <f t="shared" ref="S61:AD61" ca="1" si="56">MAX(-S56,0)</f>
        <v>0</v>
      </c>
      <c r="T61" s="168">
        <f t="shared" ca="1" si="56"/>
        <v>0</v>
      </c>
      <c r="U61" s="168">
        <f t="shared" ca="1" si="56"/>
        <v>0</v>
      </c>
      <c r="V61" s="168">
        <f t="shared" ca="1" si="56"/>
        <v>0</v>
      </c>
      <c r="W61" s="168">
        <f t="shared" ca="1" si="56"/>
        <v>0</v>
      </c>
      <c r="X61" s="168">
        <f t="shared" ca="1" si="56"/>
        <v>0</v>
      </c>
      <c r="Y61" s="168">
        <f t="shared" ca="1" si="56"/>
        <v>0</v>
      </c>
      <c r="Z61" s="168">
        <f t="shared" ca="1" si="56"/>
        <v>0</v>
      </c>
      <c r="AA61" s="168">
        <f t="shared" ca="1" si="56"/>
        <v>0</v>
      </c>
      <c r="AB61" s="168">
        <f t="shared" ca="1" si="56"/>
        <v>0</v>
      </c>
      <c r="AC61" s="168">
        <f t="shared" ca="1" si="56"/>
        <v>0</v>
      </c>
      <c r="AD61" s="168">
        <f t="shared" ca="1" si="56"/>
        <v>0</v>
      </c>
      <c r="AE61" s="168">
        <f t="shared" ref="AE61:AJ61" ca="1" si="57">MAX(-AE56,0)</f>
        <v>0</v>
      </c>
      <c r="AF61" s="168">
        <f t="shared" ca="1" si="57"/>
        <v>0</v>
      </c>
      <c r="AG61" s="168">
        <f t="shared" ca="1" si="57"/>
        <v>0</v>
      </c>
      <c r="AH61" s="168">
        <f t="shared" ca="1" si="57"/>
        <v>0</v>
      </c>
      <c r="AI61" s="168">
        <f t="shared" ca="1" si="57"/>
        <v>0</v>
      </c>
      <c r="AJ61" s="168">
        <f t="shared" ca="1" si="57"/>
        <v>0</v>
      </c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  <c r="EE61" s="170"/>
      <c r="EF61" s="170"/>
      <c r="EG61" s="170"/>
      <c r="EH61" s="170"/>
    </row>
    <row r="62" spans="2:138">
      <c r="B62" t="s">
        <v>428</v>
      </c>
      <c r="D62" s="19">
        <f t="shared" ca="1" si="54"/>
        <v>47149885.551242873</v>
      </c>
      <c r="F62" s="168">
        <f>F59*'Phase I - Summary'!$J$35</f>
        <v>0</v>
      </c>
      <c r="G62" s="168">
        <f ca="1">G59*'Phase I - Summary'!$J$35</f>
        <v>0</v>
      </c>
      <c r="H62" s="168">
        <f ca="1">H59*'Phase I - Summary'!$J$35</f>
        <v>0</v>
      </c>
      <c r="I62" s="168">
        <f ca="1">I59*'Phase I - Summary'!$J$35</f>
        <v>5324481.1444122242</v>
      </c>
      <c r="J62" s="168">
        <f ca="1">J59*'Phase I - Summary'!$J$35</f>
        <v>11891867.353921041</v>
      </c>
      <c r="K62" s="168">
        <f ca="1">K59*'Phase I - Summary'!$J$35</f>
        <v>18928821.677409731</v>
      </c>
      <c r="L62" s="168">
        <f ca="1">L59*'Phase I - Summary'!$J$35</f>
        <v>1265814.185576241</v>
      </c>
      <c r="M62" s="168">
        <f ca="1">M59*'Phase I - Summary'!$J$35</f>
        <v>1356319.8998449424</v>
      </c>
      <c r="N62" s="168">
        <f ca="1">N59*'Phase I - Summary'!$J$35</f>
        <v>1453296.7726838556</v>
      </c>
      <c r="O62" s="168">
        <f ca="1">O59*'Phase I - Summary'!$J$35</f>
        <v>1557207.4919307511</v>
      </c>
      <c r="P62" s="168">
        <f ca="1">P59*'Phase I - Summary'!$J$35</f>
        <v>1668547.8276037998</v>
      </c>
      <c r="Q62" s="168">
        <f ca="1">Q59*'Phase I - Summary'!$J$35</f>
        <v>1787848.9972774715</v>
      </c>
      <c r="R62" s="168">
        <f ca="1">R59*'Phase I - Summary'!$J$35</f>
        <v>1915680.2005828107</v>
      </c>
      <c r="S62" s="168">
        <f ca="1">S59*'Phase I - Summary'!$J$35</f>
        <v>2052651.3349244816</v>
      </c>
      <c r="T62" s="168">
        <f ca="1">T59*'Phase I - Summary'!$J$35</f>
        <v>2199415.9053715821</v>
      </c>
      <c r="U62" s="168">
        <f ca="1">U59*'Phase I - Summary'!$J$35</f>
        <v>2356674.1426056502</v>
      </c>
      <c r="V62" s="168">
        <f ca="1">V59*'Phase I - Summary'!$J$35</f>
        <v>2525176.3438019543</v>
      </c>
      <c r="W62" s="168">
        <f ca="1">W59*'Phase I - Summary'!$J$35</f>
        <v>2705726.4523837939</v>
      </c>
      <c r="X62" s="168">
        <f ca="1">X59*'Phase I - Summary'!$J$35</f>
        <v>2899185.893729235</v>
      </c>
      <c r="Y62" s="168">
        <f ca="1">Y59*'Phase I - Summary'!$J$35</f>
        <v>3106477.6851308751</v>
      </c>
      <c r="Z62" s="168">
        <f ca="1">Z59*'Phase I - Summary'!$J$35</f>
        <v>3328590.8396177324</v>
      </c>
      <c r="AA62" s="168">
        <f ca="1">AA59*'Phase I - Summary'!$J$35</f>
        <v>3566585.0846504001</v>
      </c>
      <c r="AB62" s="168">
        <f ca="1">AB59*'Phase I - Summary'!$J$35</f>
        <v>3821595.9182029036</v>
      </c>
      <c r="AC62" s="168">
        <f ca="1">AC59*'Phase I - Summary'!$J$35</f>
        <v>4094840.0263544116</v>
      </c>
      <c r="AD62" s="168">
        <f ca="1">AD59*'Phase I - Summary'!$J$35</f>
        <v>4387621.0882387515</v>
      </c>
      <c r="AE62" s="168">
        <f ca="1">AE59*'Phase I - Summary'!$J$35</f>
        <v>4701335.9960478228</v>
      </c>
      <c r="AF62" s="168">
        <f ca="1">AF59*'Phase I - Summary'!$J$35</f>
        <v>5037481.519765242</v>
      </c>
      <c r="AG62" s="168">
        <f ca="1">AG59*'Phase I - Summary'!$J$35</f>
        <v>5397661.4484284567</v>
      </c>
      <c r="AH62" s="168">
        <f ca="1">AH59*'Phase I - Summary'!$J$35</f>
        <v>5783594.2419910906</v>
      </c>
      <c r="AI62" s="168">
        <f ca="1">AI59*'Phase I - Summary'!$J$35</f>
        <v>6197121.2302934537</v>
      </c>
      <c r="AJ62" s="168">
        <f ca="1">AJ59*'Phase I - Summary'!$J$35</f>
        <v>6640215.3982594358</v>
      </c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  <c r="DK62" s="170"/>
      <c r="DL62" s="170"/>
      <c r="DM62" s="170"/>
      <c r="DN62" s="170"/>
      <c r="DO62" s="170"/>
      <c r="DP62" s="170"/>
      <c r="DQ62" s="170"/>
      <c r="DR62" s="170"/>
      <c r="DS62" s="170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  <c r="EE62" s="170"/>
      <c r="EF62" s="170"/>
      <c r="EG62" s="170"/>
      <c r="EH62" s="170"/>
    </row>
    <row r="63" spans="2:138">
      <c r="B63" t="s">
        <v>429</v>
      </c>
      <c r="D63" s="3"/>
      <c r="F63" s="168">
        <f>IF(F13='Phase I - Summary'!$D$24,'Phase I - Pro Forma'!F62+'Phase I - Pro Forma'!F59,0)</f>
        <v>0</v>
      </c>
      <c r="G63" s="168">
        <f>IF(G13='Phase I - Summary'!$D$24,'Phase I - Pro Forma'!G62+'Phase I - Pro Forma'!G59,0)</f>
        <v>0</v>
      </c>
      <c r="H63" s="168">
        <f>IF(H13='Phase I - Summary'!$D$24,'Phase I - Pro Forma'!H62+'Phase I - Pro Forma'!H59,0)</f>
        <v>0</v>
      </c>
      <c r="I63" s="168">
        <f>IF(I13='Phase I - Summary'!$D$24,'Phase I - Pro Forma'!I62+'Phase I - Pro Forma'!I59,0)</f>
        <v>0</v>
      </c>
      <c r="J63" s="168">
        <f>IF(J13='Phase I - Summary'!$D$24,'Phase I - Pro Forma'!J62+'Phase I - Pro Forma'!J59,0)</f>
        <v>0</v>
      </c>
      <c r="K63" s="168">
        <f ca="1">IF(K13='Phase I - Summary'!$D$24,'Phase I - Pro Forma'!K62+'Phase I - Pro Forma'!K59,0)</f>
        <v>283667586.39642692</v>
      </c>
      <c r="L63" s="168">
        <f>IF(L13='Phase I - Summary'!$D$24,'Phase I - Pro Forma'!L62+'Phase I - Pro Forma'!L59,0)</f>
        <v>0</v>
      </c>
      <c r="M63" s="168">
        <f>IF(M13='Phase I - Summary'!$D$24,'Phase I - Pro Forma'!M62+'Phase I - Pro Forma'!M59,0)</f>
        <v>0</v>
      </c>
      <c r="N63" s="168">
        <f>IF(N13='Phase I - Summary'!$D$24,'Phase I - Pro Forma'!N62+'Phase I - Pro Forma'!N59,0)</f>
        <v>0</v>
      </c>
      <c r="O63" s="168">
        <f>IF(O13='Phase I - Summary'!$D$24,'Phase I - Pro Forma'!O62+'Phase I - Pro Forma'!O59,0)</f>
        <v>0</v>
      </c>
      <c r="P63" s="168">
        <f>IF(P13='Phase I - Summary'!$D$24,'Phase I - Pro Forma'!P62+'Phase I - Pro Forma'!P59,0)</f>
        <v>0</v>
      </c>
      <c r="Q63" s="168">
        <f>IF(Q13='Phase I - Summary'!$D$24,'Phase I - Pro Forma'!Q62+'Phase I - Pro Forma'!Q59,0)</f>
        <v>0</v>
      </c>
      <c r="R63" s="168">
        <f>IF(R13='Phase I - Summary'!$D$24,'Phase I - Pro Forma'!R62+'Phase I - Pro Forma'!R59,0)</f>
        <v>0</v>
      </c>
      <c r="S63" s="168">
        <f>IF(S13='Phase I - Summary'!$D$24,'Phase I - Pro Forma'!S62+'Phase I - Pro Forma'!S59,0)</f>
        <v>0</v>
      </c>
      <c r="T63" s="168">
        <f>IF(T13='Phase I - Summary'!$D$24,'Phase I - Pro Forma'!T62+'Phase I - Pro Forma'!T59,0)</f>
        <v>0</v>
      </c>
      <c r="U63" s="168">
        <f>IF(U13='Phase I - Summary'!$D$24,'Phase I - Pro Forma'!U62+'Phase I - Pro Forma'!U59,0)</f>
        <v>0</v>
      </c>
      <c r="V63" s="168">
        <f>IF(V13='Phase I - Summary'!$D$24,'Phase I - Pro Forma'!V62+'Phase I - Pro Forma'!V59,0)</f>
        <v>0</v>
      </c>
      <c r="W63" s="168">
        <f>IF(W13='Phase I - Summary'!$D$24,'Phase I - Pro Forma'!W62+'Phase I - Pro Forma'!W59,0)</f>
        <v>0</v>
      </c>
      <c r="X63" s="168">
        <f>IF(X13='Phase I - Summary'!$D$24,'Phase I - Pro Forma'!X62+'Phase I - Pro Forma'!X59,0)</f>
        <v>0</v>
      </c>
      <c r="Y63" s="168">
        <f>IF(Y13='Phase I - Summary'!$D$24,'Phase I - Pro Forma'!Y62+'Phase I - Pro Forma'!Y59,0)</f>
        <v>0</v>
      </c>
      <c r="Z63" s="168">
        <f>IF(Z13='Phase I - Summary'!$D$24,'Phase I - Pro Forma'!Z62+'Phase I - Pro Forma'!Z59,0)</f>
        <v>0</v>
      </c>
      <c r="AA63" s="168">
        <f>IF(AA13='Phase I - Summary'!$D$24,'Phase I - Pro Forma'!AA62+'Phase I - Pro Forma'!AA59,0)</f>
        <v>0</v>
      </c>
      <c r="AB63" s="168">
        <f>IF(AB13='Phase I - Summary'!$D$24,'Phase I - Pro Forma'!AB62+'Phase I - Pro Forma'!AB59,0)</f>
        <v>0</v>
      </c>
      <c r="AC63" s="168">
        <f>IF(AC13='Phase I - Summary'!$D$24,'Phase I - Pro Forma'!AC62+'Phase I - Pro Forma'!AC59,0)</f>
        <v>0</v>
      </c>
      <c r="AD63" s="168">
        <f>IF(AD13='Phase I - Summary'!$D$24,'Phase I - Pro Forma'!AD62+'Phase I - Pro Forma'!AD59,0)</f>
        <v>0</v>
      </c>
      <c r="AE63" s="168">
        <f>IF(AE13='Phase I - Summary'!$D$24,'Phase I - Pro Forma'!AE62+'Phase I - Pro Forma'!AE59,0)</f>
        <v>0</v>
      </c>
      <c r="AF63" s="168">
        <f>IF(AF13='Phase I - Summary'!$D$24,'Phase I - Pro Forma'!AF62+'Phase I - Pro Forma'!AF59,0)</f>
        <v>0</v>
      </c>
      <c r="AG63" s="168">
        <f>IF(AG13='Phase I - Summary'!$D$24,'Phase I - Pro Forma'!AG62+'Phase I - Pro Forma'!AG59,0)</f>
        <v>0</v>
      </c>
      <c r="AH63" s="168">
        <f>IF(AH13='Phase I - Summary'!$D$24,'Phase I - Pro Forma'!AH62+'Phase I - Pro Forma'!AH59,0)</f>
        <v>0</v>
      </c>
      <c r="AI63" s="168">
        <f>IF(AI13='Phase I - Summary'!$D$24,'Phase I - Pro Forma'!AI62+'Phase I - Pro Forma'!AI59,0)</f>
        <v>0</v>
      </c>
      <c r="AJ63" s="168">
        <f>IF(AJ13='Phase I - Summary'!$D$24,'Phase I - Pro Forma'!AJ62+'Phase I - Pro Forma'!AJ59,0)</f>
        <v>0</v>
      </c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  <c r="CR63" s="170"/>
      <c r="CS63" s="170"/>
      <c r="CT63" s="170"/>
      <c r="CU63" s="170"/>
      <c r="CV63" s="170"/>
      <c r="CW63" s="170"/>
      <c r="CX63" s="170"/>
      <c r="CY63" s="170"/>
      <c r="CZ63" s="170"/>
      <c r="DA63" s="170"/>
      <c r="DB63" s="170"/>
      <c r="DC63" s="170"/>
      <c r="DD63" s="170"/>
      <c r="DE63" s="170"/>
      <c r="DF63" s="170"/>
      <c r="DG63" s="170"/>
      <c r="DH63" s="170"/>
      <c r="DI63" s="170"/>
      <c r="DJ63" s="170"/>
      <c r="DK63" s="170"/>
      <c r="DL63" s="170"/>
      <c r="DM63" s="170"/>
      <c r="DN63" s="170"/>
      <c r="DO63" s="170"/>
      <c r="DP63" s="170"/>
      <c r="DQ63" s="170"/>
      <c r="DR63" s="170"/>
      <c r="DS63" s="170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  <c r="EE63" s="170"/>
      <c r="EF63" s="170"/>
      <c r="EG63" s="170"/>
      <c r="EH63" s="170"/>
    </row>
    <row r="64" spans="2:138">
      <c r="B64" t="s">
        <v>430</v>
      </c>
      <c r="D64" s="3"/>
      <c r="F64" s="168">
        <f ca="1">F59+F60+F61+F62-F63</f>
        <v>0</v>
      </c>
      <c r="G64" s="168">
        <f t="shared" ref="G64:R64" ca="1" si="58">G59+G60+G61+G62-G63</f>
        <v>0</v>
      </c>
      <c r="H64" s="168">
        <f t="shared" ca="1" si="58"/>
        <v>74468267.754017115</v>
      </c>
      <c r="I64" s="168">
        <f t="shared" ca="1" si="58"/>
        <v>166319823.13176268</v>
      </c>
      <c r="J64" s="168">
        <f t="shared" ca="1" si="58"/>
        <v>264738764.71901721</v>
      </c>
      <c r="K64" s="168">
        <f t="shared" ca="1" si="58"/>
        <v>17703694.903164208</v>
      </c>
      <c r="L64" s="168">
        <f t="shared" ca="1" si="58"/>
        <v>18969509.088740449</v>
      </c>
      <c r="M64" s="168">
        <f t="shared" ca="1" si="58"/>
        <v>20325828.98858539</v>
      </c>
      <c r="N64" s="168">
        <f t="shared" ca="1" si="58"/>
        <v>21779125.761269245</v>
      </c>
      <c r="O64" s="168">
        <f t="shared" ca="1" si="58"/>
        <v>23336333.253199995</v>
      </c>
      <c r="P64" s="168">
        <f t="shared" ca="1" si="58"/>
        <v>25004881.080803793</v>
      </c>
      <c r="Q64" s="168">
        <f t="shared" ca="1" si="58"/>
        <v>26792730.078081265</v>
      </c>
      <c r="R64" s="168">
        <f t="shared" ca="1" si="58"/>
        <v>28708410.278664075</v>
      </c>
      <c r="S64" s="168">
        <f t="shared" ref="S64:AD64" ca="1" si="59">S59+S60+S61+S62-S63</f>
        <v>30761061.613588557</v>
      </c>
      <c r="T64" s="168">
        <f t="shared" ca="1" si="59"/>
        <v>32960477.518960141</v>
      </c>
      <c r="U64" s="168">
        <f t="shared" ca="1" si="59"/>
        <v>35317151.661565788</v>
      </c>
      <c r="V64" s="168">
        <f t="shared" ca="1" si="59"/>
        <v>37842328.005367741</v>
      </c>
      <c r="W64" s="168">
        <f t="shared" ca="1" si="59"/>
        <v>40548054.457751535</v>
      </c>
      <c r="X64" s="168">
        <f t="shared" ca="1" si="59"/>
        <v>43447240.351480767</v>
      </c>
      <c r="Y64" s="168">
        <f t="shared" ca="1" si="59"/>
        <v>46553718.036611639</v>
      </c>
      <c r="Z64" s="168">
        <f t="shared" ca="1" si="59"/>
        <v>49882308.876229368</v>
      </c>
      <c r="AA64" s="168">
        <f t="shared" ca="1" si="59"/>
        <v>53448893.960879765</v>
      </c>
      <c r="AB64" s="168">
        <f t="shared" ca="1" si="59"/>
        <v>57270489.879082672</v>
      </c>
      <c r="AC64" s="168">
        <f t="shared" ca="1" si="59"/>
        <v>61365329.905437082</v>
      </c>
      <c r="AD64" s="168">
        <f t="shared" ca="1" si="59"/>
        <v>65752950.993675835</v>
      </c>
      <c r="AE64" s="168">
        <f t="shared" ref="AE64:AJ64" ca="1" si="60">AE59+AE60+AE61+AE62-AE63</f>
        <v>70454286.989723653</v>
      </c>
      <c r="AF64" s="168">
        <f t="shared" ca="1" si="60"/>
        <v>75491768.509488896</v>
      </c>
      <c r="AG64" s="168">
        <f t="shared" ca="1" si="60"/>
        <v>80889429.957917348</v>
      </c>
      <c r="AH64" s="168">
        <f t="shared" ca="1" si="60"/>
        <v>86673024.199908435</v>
      </c>
      <c r="AI64" s="168">
        <f t="shared" ca="1" si="60"/>
        <v>92870145.430201888</v>
      </c>
      <c r="AJ64" s="168">
        <f t="shared" ca="1" si="60"/>
        <v>99510360.828461319</v>
      </c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  <c r="CR64" s="170"/>
      <c r="CS64" s="170"/>
      <c r="CT64" s="170"/>
      <c r="CU64" s="170"/>
      <c r="CV64" s="170"/>
      <c r="CW64" s="170"/>
      <c r="CX64" s="170"/>
      <c r="CY64" s="170"/>
      <c r="CZ64" s="170"/>
      <c r="DA64" s="170"/>
      <c r="DB64" s="170"/>
      <c r="DC64" s="170"/>
      <c r="DD64" s="170"/>
      <c r="DE64" s="170"/>
      <c r="DF64" s="170"/>
      <c r="DG64" s="170"/>
      <c r="DH64" s="170"/>
      <c r="DI64" s="170"/>
      <c r="DJ64" s="170"/>
      <c r="DK64" s="170"/>
      <c r="DL64" s="170"/>
      <c r="DM64" s="170"/>
      <c r="DN64" s="170"/>
      <c r="DO64" s="170"/>
      <c r="DP64" s="170"/>
      <c r="DQ64" s="170"/>
      <c r="DR64" s="170"/>
      <c r="DS64" s="170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  <c r="EE64" s="170"/>
      <c r="EF64" s="170"/>
      <c r="EG64" s="170"/>
      <c r="EH64" s="170"/>
    </row>
    <row r="65" spans="2:138">
      <c r="D65" s="3"/>
    </row>
    <row r="66" spans="2:138">
      <c r="B66" t="s">
        <v>431</v>
      </c>
      <c r="D66" s="3"/>
      <c r="F66" s="6">
        <f ca="1">F56+F61-F63</f>
        <v>0</v>
      </c>
      <c r="G66" s="6">
        <f t="shared" ref="G66:R66" ca="1" si="61">G56+G61-G63</f>
        <v>0</v>
      </c>
      <c r="H66" s="6">
        <f t="shared" ca="1" si="61"/>
        <v>0</v>
      </c>
      <c r="I66" s="6">
        <f t="shared" ca="1" si="61"/>
        <v>0</v>
      </c>
      <c r="J66" s="6">
        <f t="shared" ca="1" si="61"/>
        <v>0</v>
      </c>
      <c r="K66" s="6">
        <f t="shared" ca="1" si="61"/>
        <v>-283667586.39642692</v>
      </c>
      <c r="L66" s="6">
        <f t="shared" ca="1" si="61"/>
        <v>18371698.031732999</v>
      </c>
      <c r="M66" s="6">
        <f t="shared" ca="1" si="61"/>
        <v>18868497.730574351</v>
      </c>
      <c r="N66" s="6">
        <f t="shared" ca="1" si="61"/>
        <v>19377668.662838519</v>
      </c>
      <c r="O66" s="6">
        <f t="shared" ca="1" si="61"/>
        <v>19899468.047534227</v>
      </c>
      <c r="P66" s="6">
        <f t="shared" ca="1" si="61"/>
        <v>20434155.685539678</v>
      </c>
      <c r="Q66" s="6">
        <f t="shared" ca="1" si="61"/>
        <v>401835822.54845083</v>
      </c>
      <c r="R66" s="6">
        <f t="shared" ca="1" si="61"/>
        <v>21543246.878536947</v>
      </c>
      <c r="S66" s="6">
        <f t="shared" ref="S66:AD66" ca="1" si="62">S56+S61-S63</f>
        <v>22118181.455675263</v>
      </c>
      <c r="T66" s="6">
        <f t="shared" ca="1" si="62"/>
        <v>22707065.935508355</v>
      </c>
      <c r="U66" s="6">
        <f t="shared" ca="1" si="62"/>
        <v>23310170.352481779</v>
      </c>
      <c r="V66" s="6">
        <f t="shared" ca="1" si="62"/>
        <v>23927766.129785851</v>
      </c>
      <c r="W66" s="6">
        <f t="shared" ca="1" si="62"/>
        <v>24560125.813951802</v>
      </c>
      <c r="X66" s="6">
        <f t="shared" ca="1" si="62"/>
        <v>25207522.787277803</v>
      </c>
      <c r="Y66" s="6">
        <f t="shared" ca="1" si="62"/>
        <v>25870230.956755906</v>
      </c>
      <c r="Z66" s="6">
        <f t="shared" ca="1" si="62"/>
        <v>26548524.418100808</v>
      </c>
      <c r="AA66" s="6">
        <f t="shared" ca="1" si="62"/>
        <v>27242677.093405813</v>
      </c>
      <c r="AB66" s="6">
        <f t="shared" ca="1" si="62"/>
        <v>27952962.340873662</v>
      </c>
      <c r="AC66" s="6">
        <f t="shared" ca="1" si="62"/>
        <v>28679652.534986764</v>
      </c>
      <c r="AD66" s="6">
        <f t="shared" ca="1" si="62"/>
        <v>29423018.615395617</v>
      </c>
      <c r="AE66" s="6">
        <f t="shared" ref="AE66:AJ66" ca="1" si="63">AE56+AE61-AE63</f>
        <v>30183329.602712523</v>
      </c>
      <c r="AF66" s="6">
        <f t="shared" ca="1" si="63"/>
        <v>30960852.079302669</v>
      </c>
      <c r="AG66" s="6">
        <f t="shared" ca="1" si="63"/>
        <v>31755849.633063935</v>
      </c>
      <c r="AH66" s="6">
        <f t="shared" ca="1" si="63"/>
        <v>32568582.262081694</v>
      </c>
      <c r="AI66" s="6">
        <f t="shared" ca="1" si="63"/>
        <v>33399305.737934008</v>
      </c>
      <c r="AJ66" s="6">
        <f t="shared" ca="1" si="63"/>
        <v>34248270.925306514</v>
      </c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0"/>
      <c r="DF66" s="170"/>
      <c r="DG66" s="170"/>
      <c r="DH66" s="170"/>
      <c r="DI66" s="170"/>
      <c r="DJ66" s="170"/>
      <c r="DK66" s="170"/>
      <c r="DL66" s="170"/>
      <c r="DM66" s="170"/>
      <c r="DN66" s="170"/>
      <c r="DO66" s="170"/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  <c r="EE66" s="170"/>
      <c r="EF66" s="170"/>
      <c r="EG66" s="170"/>
      <c r="EH66" s="170"/>
    </row>
    <row r="67" spans="2:138">
      <c r="D67" s="3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0"/>
      <c r="DF67" s="170"/>
      <c r="DG67" s="170"/>
      <c r="DH67" s="170"/>
      <c r="DI67" s="170"/>
      <c r="DJ67" s="170"/>
      <c r="DK67" s="170"/>
      <c r="DL67" s="170"/>
      <c r="DM67" s="170"/>
      <c r="DN67" s="170"/>
      <c r="DO67" s="170"/>
      <c r="DP67" s="170"/>
      <c r="DQ67" s="170"/>
      <c r="DR67" s="170"/>
      <c r="DS67" s="170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  <c r="EE67" s="170"/>
      <c r="EF67" s="170"/>
      <c r="EG67" s="170"/>
      <c r="EH67" s="170"/>
    </row>
    <row r="68" spans="2:138" ht="14.4">
      <c r="B68" s="9" t="s">
        <v>432</v>
      </c>
      <c r="D68" s="3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  <c r="CR68" s="170"/>
      <c r="CS68" s="170"/>
      <c r="CT68" s="170"/>
      <c r="CU68" s="170"/>
      <c r="CV68" s="170"/>
      <c r="CW68" s="170"/>
      <c r="CX68" s="170"/>
      <c r="CY68" s="170"/>
      <c r="CZ68" s="170"/>
      <c r="DA68" s="170"/>
      <c r="DB68" s="170"/>
      <c r="DC68" s="170"/>
      <c r="DD68" s="170"/>
      <c r="DE68" s="170"/>
      <c r="DF68" s="170"/>
      <c r="DG68" s="170"/>
      <c r="DH68" s="170"/>
      <c r="DI68" s="170"/>
      <c r="DJ68" s="170"/>
      <c r="DK68" s="170"/>
      <c r="DL68" s="170"/>
      <c r="DM68" s="170"/>
      <c r="DN68" s="170"/>
      <c r="DO68" s="170"/>
      <c r="DP68" s="170"/>
      <c r="DQ68" s="170"/>
      <c r="DR68" s="170"/>
      <c r="DS68" s="170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  <c r="EE68" s="170"/>
      <c r="EF68" s="170"/>
      <c r="EG68" s="170"/>
      <c r="EH68" s="170"/>
    </row>
    <row r="69" spans="2:138">
      <c r="B69" t="s">
        <v>425</v>
      </c>
      <c r="D69" s="3"/>
      <c r="F69" s="6">
        <f>E74</f>
        <v>0</v>
      </c>
      <c r="G69" s="6">
        <f t="shared" ref="G69:R69" si="64">F74</f>
        <v>0</v>
      </c>
      <c r="H69" s="6">
        <f t="shared" si="64"/>
        <v>0</v>
      </c>
      <c r="I69" s="6">
        <f t="shared" si="64"/>
        <v>0</v>
      </c>
      <c r="J69" s="6">
        <f t="shared" si="64"/>
        <v>0</v>
      </c>
      <c r="K69" s="6">
        <f t="shared" si="64"/>
        <v>0</v>
      </c>
      <c r="L69" s="6">
        <f t="shared" si="64"/>
        <v>0</v>
      </c>
      <c r="M69" s="6">
        <f t="shared" si="64"/>
        <v>0</v>
      </c>
      <c r="N69" s="6">
        <f t="shared" si="64"/>
        <v>0</v>
      </c>
      <c r="O69" s="6">
        <f t="shared" si="64"/>
        <v>0</v>
      </c>
      <c r="P69" s="6">
        <f t="shared" si="64"/>
        <v>0</v>
      </c>
      <c r="Q69" s="6">
        <f t="shared" si="64"/>
        <v>0</v>
      </c>
      <c r="R69" s="6">
        <f t="shared" ca="1" si="64"/>
        <v>326386570.26713079</v>
      </c>
      <c r="S69" s="6">
        <f t="shared" ref="S69" ca="1" si="65">R74</f>
        <v>326386570.26713079</v>
      </c>
      <c r="T69" s="6">
        <f t="shared" ref="T69" ca="1" si="66">S74</f>
        <v>326386570.26713079</v>
      </c>
      <c r="U69" s="6">
        <f t="shared" ref="U69" ca="1" si="67">T74</f>
        <v>326386570.26713079</v>
      </c>
      <c r="V69" s="6">
        <f t="shared" ref="V69" ca="1" si="68">U74</f>
        <v>326386570.26713079</v>
      </c>
      <c r="W69" s="6">
        <f t="shared" ref="W69" ca="1" si="69">V74</f>
        <v>326386570.26713079</v>
      </c>
      <c r="X69" s="6">
        <f t="shared" ref="X69" ca="1" si="70">W74</f>
        <v>326386570.26713079</v>
      </c>
      <c r="Y69" s="6">
        <f t="shared" ref="Y69" ca="1" si="71">X74</f>
        <v>326386570.26713079</v>
      </c>
      <c r="Z69" s="6">
        <f t="shared" ref="Z69" ca="1" si="72">Y74</f>
        <v>326386570.26713079</v>
      </c>
      <c r="AA69" s="6">
        <f t="shared" ref="AA69" ca="1" si="73">Z74</f>
        <v>326386570.26713079</v>
      </c>
      <c r="AB69" s="6">
        <f t="shared" ref="AB69" ca="1" si="74">AA74</f>
        <v>326386570.26713079</v>
      </c>
      <c r="AC69" s="6">
        <f t="shared" ref="AC69" ca="1" si="75">AB74</f>
        <v>326386570.26713079</v>
      </c>
      <c r="AD69" s="6">
        <f t="shared" ref="AD69" ca="1" si="76">AC74</f>
        <v>326386570.26713079</v>
      </c>
      <c r="AE69" s="6">
        <f t="shared" ref="AE69" ca="1" si="77">AD74</f>
        <v>326386570.26713079</v>
      </c>
      <c r="AF69" s="6">
        <f t="shared" ref="AF69" ca="1" si="78">AE74</f>
        <v>326386570.26713079</v>
      </c>
      <c r="AG69" s="6">
        <f t="shared" ref="AG69" ca="1" si="79">AF74</f>
        <v>326386570.26713079</v>
      </c>
      <c r="AH69" s="6">
        <f t="shared" ref="AH69" ca="1" si="80">AG74</f>
        <v>326386570.26713079</v>
      </c>
      <c r="AI69" s="6">
        <f t="shared" ref="AI69" ca="1" si="81">AH74</f>
        <v>326386570.26713079</v>
      </c>
      <c r="AJ69" s="6">
        <f t="shared" ref="AJ69" ca="1" si="82">AI74</f>
        <v>326386570.26713079</v>
      </c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  <c r="DK69" s="170"/>
      <c r="DL69" s="170"/>
      <c r="DM69" s="170"/>
      <c r="DN69" s="170"/>
      <c r="DO69" s="170"/>
      <c r="DP69" s="170"/>
      <c r="DQ69" s="170"/>
      <c r="DR69" s="170"/>
      <c r="DS69" s="170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  <c r="EE69" s="170"/>
      <c r="EF69" s="170"/>
      <c r="EG69" s="170"/>
      <c r="EH69" s="170"/>
    </row>
    <row r="70" spans="2:138">
      <c r="B70" t="s">
        <v>426</v>
      </c>
      <c r="D70" s="3"/>
      <c r="F70" s="6">
        <f>IF(F13='Phase I - Summary'!$D$24,'Phase I - Summary'!$J$51*'Phase I - Summary'!$J$50,0)</f>
        <v>0</v>
      </c>
      <c r="G70" s="6">
        <f>IF(G13='Phase I - Summary'!$D$24,'Phase I - Summary'!$J$51*'Phase I - Summary'!$J$50,0)</f>
        <v>0</v>
      </c>
      <c r="H70" s="6">
        <f>IF(H13='Phase I - Summary'!$D$24,'Phase I - Summary'!$J$51*'Phase I - Summary'!$J$50,0)</f>
        <v>0</v>
      </c>
      <c r="I70" s="6">
        <f>IF(I13='Phase I - Summary'!$D$24,'Phase I - Summary'!$J$51*'Phase I - Summary'!$J$50,0)</f>
        <v>0</v>
      </c>
      <c r="J70" s="6">
        <f>IF(J13='Phase I - Summary'!$D$24,'Phase I - Summary'!$J$51*'Phase I - Summary'!$J$50,0)</f>
        <v>0</v>
      </c>
      <c r="K70" s="6">
        <f ca="1">IF(K13='Phase I - Summary'!$D$24,'Phase I - Summary'!$J$51*'Phase I - Summary'!$J$50,0)</f>
        <v>3263865.7026713081</v>
      </c>
      <c r="L70" s="6">
        <f>IF(L13='Phase I - Summary'!$D$24,'Phase I - Summary'!$J$51*'Phase I - Summary'!$J$50,0)</f>
        <v>0</v>
      </c>
      <c r="M70" s="6">
        <f>IF(M13='Phase I - Summary'!$D$24,'Phase I - Summary'!$J$51*'Phase I - Summary'!$J$50,0)</f>
        <v>0</v>
      </c>
      <c r="N70" s="6">
        <f>IF(N13='Phase I - Summary'!$D$24,'Phase I - Summary'!$J$51*'Phase I - Summary'!$J$50,0)</f>
        <v>0</v>
      </c>
      <c r="O70" s="6">
        <f>IF(O13='Phase I - Summary'!$D$24,'Phase I - Summary'!$J$51*'Phase I - Summary'!$J$50,0)</f>
        <v>0</v>
      </c>
      <c r="P70" s="6">
        <f>IF(P13='Phase I - Summary'!$D$24,'Phase I - Summary'!$J$51*'Phase I - Summary'!$J$50,0)</f>
        <v>0</v>
      </c>
      <c r="Q70" s="6">
        <f>IF(Q13='Phase I - Summary'!$D$24,'Phase I - Summary'!$J$51*'Phase I - Summary'!$J$50,0)</f>
        <v>0</v>
      </c>
      <c r="R70" s="6">
        <f>IF(R13='Phase I - Summary'!$D$24,'Phase I - Summary'!$J$51*'Phase I - Summary'!$J$50,0)</f>
        <v>0</v>
      </c>
      <c r="S70" s="6">
        <f>IF(S13='Phase I - Summary'!$D$24,'Phase I - Summary'!$J$51*'Phase I - Summary'!$J$50,0)</f>
        <v>0</v>
      </c>
      <c r="T70" s="6">
        <f>IF(T13='Phase I - Summary'!$D$24,'Phase I - Summary'!$J$51*'Phase I - Summary'!$J$50,0)</f>
        <v>0</v>
      </c>
      <c r="U70" s="6">
        <f>IF(U13='Phase I - Summary'!$D$24,'Phase I - Summary'!$J$51*'Phase I - Summary'!$J$50,0)</f>
        <v>0</v>
      </c>
      <c r="V70" s="6">
        <f>IF(V13='Phase I - Summary'!$D$24,'Phase I - Summary'!$J$51*'Phase I - Summary'!$J$50,0)</f>
        <v>0</v>
      </c>
      <c r="W70" s="6">
        <f>IF(W13='Phase I - Summary'!$D$24,'Phase I - Summary'!$J$51*'Phase I - Summary'!$J$50,0)</f>
        <v>0</v>
      </c>
      <c r="X70" s="6">
        <f>IF(X13='Phase I - Summary'!$D$24,'Phase I - Summary'!$J$51*'Phase I - Summary'!$J$50,0)</f>
        <v>0</v>
      </c>
      <c r="Y70" s="6">
        <f>IF(Y13='Phase I - Summary'!$D$24,'Phase I - Summary'!$J$51*'Phase I - Summary'!$J$50,0)</f>
        <v>0</v>
      </c>
      <c r="Z70" s="6">
        <f>IF(Z13='Phase I - Summary'!$D$24,'Phase I - Summary'!$J$51*'Phase I - Summary'!$J$50,0)</f>
        <v>0</v>
      </c>
      <c r="AA70" s="6">
        <f>IF(AA13='Phase I - Summary'!$D$24,'Phase I - Summary'!$J$51*'Phase I - Summary'!$J$50,0)</f>
        <v>0</v>
      </c>
      <c r="AB70" s="6">
        <f>IF(AB13='Phase I - Summary'!$D$24,'Phase I - Summary'!$J$51*'Phase I - Summary'!$J$50,0)</f>
        <v>0</v>
      </c>
      <c r="AC70" s="6">
        <f>IF(AC13='Phase I - Summary'!$D$24,'Phase I - Summary'!$J$51*'Phase I - Summary'!$J$50,0)</f>
        <v>0</v>
      </c>
      <c r="AD70" s="6">
        <f>IF(AD13='Phase I - Summary'!$D$24,'Phase I - Summary'!$J$51*'Phase I - Summary'!$J$50,0)</f>
        <v>0</v>
      </c>
      <c r="AE70" s="6">
        <f>IF(AE13='Phase I - Summary'!$D$24,'Phase I - Summary'!$J$51*'Phase I - Summary'!$J$50,0)</f>
        <v>0</v>
      </c>
      <c r="AF70" s="6">
        <f>IF(AF13='Phase I - Summary'!$D$24,'Phase I - Summary'!$J$51*'Phase I - Summary'!$J$50,0)</f>
        <v>0</v>
      </c>
      <c r="AG70" s="6">
        <f>IF(AG13='Phase I - Summary'!$D$24,'Phase I - Summary'!$J$51*'Phase I - Summary'!$J$50,0)</f>
        <v>0</v>
      </c>
      <c r="AH70" s="6">
        <f>IF(AH13='Phase I - Summary'!$D$24,'Phase I - Summary'!$J$51*'Phase I - Summary'!$J$50,0)</f>
        <v>0</v>
      </c>
      <c r="AI70" s="6">
        <f>IF(AI13='Phase I - Summary'!$D$24,'Phase I - Summary'!$J$51*'Phase I - Summary'!$J$50,0)</f>
        <v>0</v>
      </c>
      <c r="AJ70" s="6">
        <f>IF(AJ13='Phase I - Summary'!$D$24,'Phase I - Summary'!$J$51*'Phase I - Summary'!$J$50,0)</f>
        <v>0</v>
      </c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CZ70" s="170"/>
      <c r="DA70" s="170"/>
      <c r="DB70" s="170"/>
      <c r="DC70" s="170"/>
      <c r="DD70" s="170"/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  <c r="EE70" s="170"/>
      <c r="EF70" s="170"/>
      <c r="EG70" s="170"/>
      <c r="EH70" s="170"/>
    </row>
    <row r="71" spans="2:138">
      <c r="B71" t="s">
        <v>427</v>
      </c>
      <c r="D71" s="3"/>
      <c r="F71" s="6">
        <f>IF(F13='Phase I - Summary'!$J$46,'Phase I - Summary'!$J$50,0)</f>
        <v>0</v>
      </c>
      <c r="G71" s="6">
        <f>IF(G13='Phase I - Summary'!$J$46,'Phase I - Summary'!$J$50,0)</f>
        <v>0</v>
      </c>
      <c r="H71" s="6">
        <f>IF(H13='Phase I - Summary'!$J$46,'Phase I - Summary'!$J$50,0)</f>
        <v>0</v>
      </c>
      <c r="I71" s="6">
        <f>IF(I13='Phase I - Summary'!$J$46,'Phase I - Summary'!$J$50,0)</f>
        <v>0</v>
      </c>
      <c r="J71" s="6">
        <f>IF(J13='Phase I - Summary'!$J$46,'Phase I - Summary'!$J$50,0)</f>
        <v>0</v>
      </c>
      <c r="K71" s="6">
        <f>IF(K13='Phase I - Summary'!$J$46,'Phase I - Summary'!$J$50,0)</f>
        <v>0</v>
      </c>
      <c r="L71" s="6">
        <f>IF(L13='Phase I - Summary'!$J$46,'Phase I - Summary'!$J$50,0)</f>
        <v>0</v>
      </c>
      <c r="M71" s="6">
        <f>IF(M13='Phase I - Summary'!$J$46,'Phase I - Summary'!$J$50,0)</f>
        <v>0</v>
      </c>
      <c r="N71" s="6">
        <f>IF(N13='Phase I - Summary'!$J$46,'Phase I - Summary'!$J$50,0)</f>
        <v>0</v>
      </c>
      <c r="O71" s="6">
        <f>IF(O13='Phase I - Summary'!$J$46,'Phase I - Summary'!$J$50,0)</f>
        <v>0</v>
      </c>
      <c r="P71" s="6">
        <f>IF(P13='Phase I - Summary'!$J$46,'Phase I - Summary'!$J$50,0)</f>
        <v>0</v>
      </c>
      <c r="Q71" s="6">
        <f ca="1">IF(Q13='Phase I - Summary'!$J$46,'Phase I - Summary'!$J$50,0)</f>
        <v>326386570.26713079</v>
      </c>
      <c r="R71" s="6">
        <f>IF(R13='Phase I - Summary'!$J$46,'Phase I - Summary'!$J$50,0)</f>
        <v>0</v>
      </c>
      <c r="S71" s="6">
        <f>IF(S13='Phase I - Summary'!$J$46,'Phase I - Summary'!$J$50,0)</f>
        <v>0</v>
      </c>
      <c r="T71" s="6">
        <f>IF(T13='Phase I - Summary'!$J$46,'Phase I - Summary'!$J$50,0)</f>
        <v>0</v>
      </c>
      <c r="U71" s="6">
        <f>IF(U13='Phase I - Summary'!$J$46,'Phase I - Summary'!$J$50,0)</f>
        <v>0</v>
      </c>
      <c r="V71" s="6">
        <f>IF(V13='Phase I - Summary'!$J$46,'Phase I - Summary'!$J$50,0)</f>
        <v>0</v>
      </c>
      <c r="W71" s="6">
        <f>IF(W13='Phase I - Summary'!$J$46,'Phase I - Summary'!$J$50,0)</f>
        <v>0</v>
      </c>
      <c r="X71" s="6">
        <f>IF(X13='Phase I - Summary'!$J$46,'Phase I - Summary'!$J$50,0)</f>
        <v>0</v>
      </c>
      <c r="Y71" s="6">
        <f>IF(Y13='Phase I - Summary'!$J$46,'Phase I - Summary'!$J$50,0)</f>
        <v>0</v>
      </c>
      <c r="Z71" s="6">
        <f>IF(Z13='Phase I - Summary'!$J$46,'Phase I - Summary'!$J$50,0)</f>
        <v>0</v>
      </c>
      <c r="AA71" s="6">
        <f>IF(AA13='Phase I - Summary'!$J$46,'Phase I - Summary'!$J$50,0)</f>
        <v>0</v>
      </c>
      <c r="AB71" s="6">
        <f>IF(AB13='Phase I - Summary'!$J$46,'Phase I - Summary'!$J$50,0)</f>
        <v>0</v>
      </c>
      <c r="AC71" s="6">
        <f>IF(AC13='Phase I - Summary'!$J$46,'Phase I - Summary'!$J$50,0)</f>
        <v>0</v>
      </c>
      <c r="AD71" s="6">
        <f>IF(AD13='Phase I - Summary'!$J$46,'Phase I - Summary'!$J$50,0)</f>
        <v>0</v>
      </c>
      <c r="AE71" s="6">
        <f>IF(AE13='Phase I - Summary'!$J$46,'Phase I - Summary'!$J$50,0)</f>
        <v>0</v>
      </c>
      <c r="AF71" s="6">
        <f>IF(AF13='Phase I - Summary'!$J$46,'Phase I - Summary'!$J$50,0)</f>
        <v>0</v>
      </c>
      <c r="AG71" s="6">
        <f>IF(AG13='Phase I - Summary'!$J$46,'Phase I - Summary'!$J$50,0)</f>
        <v>0</v>
      </c>
      <c r="AH71" s="6">
        <f>IF(AH13='Phase I - Summary'!$J$46,'Phase I - Summary'!$J$50,0)</f>
        <v>0</v>
      </c>
      <c r="AI71" s="6">
        <f>IF(AI13='Phase I - Summary'!$J$46,'Phase I - Summary'!$J$50,0)</f>
        <v>0</v>
      </c>
      <c r="AJ71" s="6">
        <f>IF(AJ13='Phase I - Summary'!$J$46,'Phase I - Summary'!$J$50,0)</f>
        <v>0</v>
      </c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  <c r="CR71" s="170"/>
      <c r="CS71" s="170"/>
      <c r="CT71" s="170"/>
      <c r="CU71" s="170"/>
      <c r="CV71" s="170"/>
      <c r="CW71" s="170"/>
      <c r="CX71" s="170"/>
      <c r="CY71" s="170"/>
      <c r="CZ71" s="170"/>
      <c r="DA71" s="170"/>
      <c r="DB71" s="170"/>
      <c r="DC71" s="170"/>
      <c r="DD71" s="170"/>
      <c r="DE71" s="170"/>
      <c r="DF71" s="170"/>
      <c r="DG71" s="170"/>
      <c r="DH71" s="170"/>
      <c r="DI71" s="170"/>
      <c r="DJ71" s="170"/>
      <c r="DK71" s="170"/>
      <c r="DL71" s="170"/>
      <c r="DM71" s="170"/>
      <c r="DN71" s="170"/>
      <c r="DO71" s="170"/>
      <c r="DP71" s="170"/>
      <c r="DQ71" s="170"/>
      <c r="DR71" s="170"/>
      <c r="DS71" s="170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  <c r="EE71" s="170"/>
      <c r="EF71" s="170"/>
      <c r="EG71" s="170"/>
      <c r="EH71" s="170"/>
    </row>
    <row r="72" spans="2:138">
      <c r="B72" t="s">
        <v>428</v>
      </c>
      <c r="D72" s="3"/>
      <c r="F72" s="6">
        <f>F69*'Phase I - Summary'!$J$42</f>
        <v>0</v>
      </c>
      <c r="G72" s="6">
        <f>G69*'Phase I - Summary'!$J$42</f>
        <v>0</v>
      </c>
      <c r="H72" s="6">
        <f>H69*'Phase I - Summary'!$J$42</f>
        <v>0</v>
      </c>
      <c r="I72" s="6">
        <f>I69*'Phase I - Summary'!$J$42</f>
        <v>0</v>
      </c>
      <c r="J72" s="6">
        <f>J69*'Phase I - Summary'!$J$42</f>
        <v>0</v>
      </c>
      <c r="K72" s="6">
        <f>K69*'Phase I - Summary'!$J$42</f>
        <v>0</v>
      </c>
      <c r="L72" s="6">
        <f>L69*'Phase I - Summary'!$J$42</f>
        <v>0</v>
      </c>
      <c r="M72" s="6">
        <f>M69*'Phase I - Summary'!$J$42</f>
        <v>0</v>
      </c>
      <c r="N72" s="6">
        <f>N69*'Phase I - Summary'!$J$42</f>
        <v>0</v>
      </c>
      <c r="O72" s="6">
        <f>O69*'Phase I - Summary'!$J$42</f>
        <v>0</v>
      </c>
      <c r="P72" s="6">
        <f>P69*'Phase I - Summary'!$J$42</f>
        <v>0</v>
      </c>
      <c r="Q72" s="6">
        <f>Q69*'Phase I - Summary'!$J$42</f>
        <v>0</v>
      </c>
      <c r="R72" s="6">
        <f ca="1">R69*'Phase I - Summary'!$J$42</f>
        <v>14687395.662020884</v>
      </c>
      <c r="S72" s="6">
        <f ca="1">S69*'Phase I - Summary'!$J$42</f>
        <v>14687395.662020884</v>
      </c>
      <c r="T72" s="6">
        <f ca="1">T69*'Phase I - Summary'!$J$42</f>
        <v>14687395.662020884</v>
      </c>
      <c r="U72" s="6">
        <f ca="1">U69*'Phase I - Summary'!$J$42</f>
        <v>14687395.662020884</v>
      </c>
      <c r="V72" s="6">
        <f ca="1">V69*'Phase I - Summary'!$J$42</f>
        <v>14687395.662020884</v>
      </c>
      <c r="W72" s="6">
        <f ca="1">W69*'Phase I - Summary'!$J$42</f>
        <v>14687395.662020884</v>
      </c>
      <c r="X72" s="6">
        <f ca="1">X69*'Phase I - Summary'!$J$42</f>
        <v>14687395.662020884</v>
      </c>
      <c r="Y72" s="6">
        <f ca="1">Y69*'Phase I - Summary'!$J$42</f>
        <v>14687395.662020884</v>
      </c>
      <c r="Z72" s="6">
        <f ca="1">Z69*'Phase I - Summary'!$J$42</f>
        <v>14687395.662020884</v>
      </c>
      <c r="AA72" s="6">
        <f ca="1">AA69*'Phase I - Summary'!$J$42</f>
        <v>14687395.662020884</v>
      </c>
      <c r="AB72" s="6">
        <f ca="1">AB69*'Phase I - Summary'!$J$42</f>
        <v>14687395.662020884</v>
      </c>
      <c r="AC72" s="6">
        <f ca="1">AC69*'Phase I - Summary'!$J$42</f>
        <v>14687395.662020884</v>
      </c>
      <c r="AD72" s="6">
        <f ca="1">AD69*'Phase I - Summary'!$J$42</f>
        <v>14687395.662020884</v>
      </c>
      <c r="AE72" s="6">
        <f ca="1">AE69*'Phase I - Summary'!$J$42</f>
        <v>14687395.662020884</v>
      </c>
      <c r="AF72" s="6">
        <f ca="1">AF69*'Phase I - Summary'!$J$42</f>
        <v>14687395.662020884</v>
      </c>
      <c r="AG72" s="6">
        <f ca="1">AG69*'Phase I - Summary'!$J$42</f>
        <v>14687395.662020884</v>
      </c>
      <c r="AH72" s="6">
        <f ca="1">AH69*'Phase I - Summary'!$J$42</f>
        <v>14687395.662020884</v>
      </c>
      <c r="AI72" s="6">
        <f ca="1">AI69*'Phase I - Summary'!$J$42</f>
        <v>14687395.662020884</v>
      </c>
      <c r="AJ72" s="6">
        <f ca="1">AJ69*'Phase I - Summary'!$J$42</f>
        <v>14687395.662020884</v>
      </c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  <c r="CR72" s="170"/>
      <c r="CS72" s="170"/>
      <c r="CT72" s="170"/>
      <c r="CU72" s="170"/>
      <c r="CV72" s="170"/>
      <c r="CW72" s="170"/>
      <c r="CX72" s="170"/>
      <c r="CY72" s="170"/>
      <c r="CZ72" s="170"/>
      <c r="DA72" s="170"/>
      <c r="DB72" s="170"/>
      <c r="DC72" s="170"/>
      <c r="DD72" s="170"/>
      <c r="DE72" s="170"/>
      <c r="DF72" s="170"/>
      <c r="DG72" s="170"/>
      <c r="DH72" s="170"/>
      <c r="DI72" s="170"/>
      <c r="DJ72" s="170"/>
      <c r="DK72" s="170"/>
      <c r="DL72" s="170"/>
      <c r="DM72" s="170"/>
      <c r="DN72" s="170"/>
      <c r="DO72" s="170"/>
      <c r="DP72" s="170"/>
      <c r="DQ72" s="170"/>
      <c r="DR72" s="170"/>
      <c r="DS72" s="170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  <c r="EE72" s="170"/>
      <c r="EF72" s="170"/>
      <c r="EG72" s="170"/>
      <c r="EH72" s="170"/>
    </row>
    <row r="73" spans="2:138">
      <c r="B73" t="s">
        <v>429</v>
      </c>
      <c r="D73" s="3"/>
      <c r="F73" s="6">
        <f>IF(F13='Phase I - Summary'!$J$47,'Phase I - Pro Forma'!F69,0)</f>
        <v>0</v>
      </c>
      <c r="G73" s="6">
        <f>IF(G13='Phase I - Summary'!$J$47,'Phase I - Pro Forma'!G69,0)</f>
        <v>0</v>
      </c>
      <c r="H73" s="6">
        <f>IF(H13='Phase I - Summary'!$J$47,'Phase I - Pro Forma'!H69,0)</f>
        <v>0</v>
      </c>
      <c r="I73" s="6">
        <f>IF(I13='Phase I - Summary'!$J$47,'Phase I - Pro Forma'!I69,0)</f>
        <v>0</v>
      </c>
      <c r="J73" s="6">
        <f>IF(J13='Phase I - Summary'!$J$47,'Phase I - Pro Forma'!J69,0)</f>
        <v>0</v>
      </c>
      <c r="K73" s="6">
        <f>IF(K13='Phase I - Summary'!$J$47,'Phase I - Pro Forma'!K69,0)</f>
        <v>0</v>
      </c>
      <c r="L73" s="6">
        <f>IF(L13='Phase I - Summary'!$J$47,'Phase I - Pro Forma'!L69,0)</f>
        <v>0</v>
      </c>
      <c r="M73" s="6">
        <f>IF(M13='Phase I - Summary'!$J$47,'Phase I - Pro Forma'!M69,0)</f>
        <v>0</v>
      </c>
      <c r="N73" s="6">
        <f>IF(N13='Phase I - Summary'!$J$47,'Phase I - Pro Forma'!N69,0)</f>
        <v>0</v>
      </c>
      <c r="O73" s="6">
        <f>IF(O13='Phase I - Summary'!$J$47,'Phase I - Pro Forma'!O69,0)</f>
        <v>0</v>
      </c>
      <c r="P73" s="6">
        <f>IF(P13='Phase I - Summary'!$J$47,'Phase I - Pro Forma'!P69,0)</f>
        <v>0</v>
      </c>
      <c r="Q73" s="6">
        <f>IF(Q13='Phase I - Summary'!$J$47,'Phase I - Pro Forma'!Q69,0)</f>
        <v>0</v>
      </c>
      <c r="R73" s="6">
        <f>IF(R13='Phase I - Summary'!$J$47,'Phase I - Pro Forma'!R69,0)</f>
        <v>0</v>
      </c>
      <c r="S73" s="6">
        <f>IF(S13='Phase I - Summary'!$J$47,'Phase I - Pro Forma'!S69,0)</f>
        <v>0</v>
      </c>
      <c r="T73" s="6">
        <f>IF(T13='Phase I - Summary'!$J$47,'Phase I - Pro Forma'!T69,0)</f>
        <v>0</v>
      </c>
      <c r="U73" s="6">
        <f>IF(U13='Phase I - Summary'!$J$47,'Phase I - Pro Forma'!U69,0)</f>
        <v>0</v>
      </c>
      <c r="V73" s="6">
        <f>IF(V13='Phase I - Summary'!$J$47,'Phase I - Pro Forma'!V69,0)</f>
        <v>0</v>
      </c>
      <c r="W73" s="6">
        <f>IF(W13='Phase I - Summary'!$J$47,'Phase I - Pro Forma'!W69,0)</f>
        <v>0</v>
      </c>
      <c r="X73" s="6">
        <f>IF(X13='Phase I - Summary'!$J$47,'Phase I - Pro Forma'!X69,0)</f>
        <v>0</v>
      </c>
      <c r="Y73" s="6">
        <f>IF(Y13='Phase I - Summary'!$J$47,'Phase I - Pro Forma'!Y69,0)</f>
        <v>0</v>
      </c>
      <c r="Z73" s="6">
        <f>IF(Z13='Phase I - Summary'!$J$47,'Phase I - Pro Forma'!Z69,0)</f>
        <v>0</v>
      </c>
      <c r="AA73" s="6">
        <f>IF(AA13='Phase I - Summary'!$J$47,'Phase I - Pro Forma'!AA69,0)</f>
        <v>0</v>
      </c>
      <c r="AB73" s="6">
        <f>IF(AB13='Phase I - Summary'!$J$47,'Phase I - Pro Forma'!AB69,0)</f>
        <v>0</v>
      </c>
      <c r="AC73" s="6">
        <f>IF(AC13='Phase I - Summary'!$J$47,'Phase I - Pro Forma'!AC69,0)</f>
        <v>0</v>
      </c>
      <c r="AD73" s="6">
        <f>IF(AD13='Phase I - Summary'!$J$47,'Phase I - Pro Forma'!AD69,0)</f>
        <v>0</v>
      </c>
      <c r="AE73" s="6">
        <f>IF(AE13='Phase I - Summary'!$J$47,'Phase I - Pro Forma'!AE69,0)</f>
        <v>0</v>
      </c>
      <c r="AF73" s="6">
        <f>IF(AF13='Phase I - Summary'!$J$47,'Phase I - Pro Forma'!AF69,0)</f>
        <v>0</v>
      </c>
      <c r="AG73" s="6">
        <f>IF(AG13='Phase I - Summary'!$J$47,'Phase I - Pro Forma'!AG69,0)</f>
        <v>0</v>
      </c>
      <c r="AH73" s="6">
        <f>IF(AH13='Phase I - Summary'!$J$47,'Phase I - Pro Forma'!AH69,0)</f>
        <v>0</v>
      </c>
      <c r="AI73" s="6">
        <f>IF(AI13='Phase I - Summary'!$J$47,'Phase I - Pro Forma'!AI69,0)</f>
        <v>0</v>
      </c>
      <c r="AJ73" s="6">
        <f>IF(AJ13='Phase I - Summary'!$J$47,'Phase I - Pro Forma'!AJ69,0)</f>
        <v>0</v>
      </c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  <c r="CR73" s="170"/>
      <c r="CS73" s="170"/>
      <c r="CT73" s="170"/>
      <c r="CU73" s="170"/>
      <c r="CV73" s="170"/>
      <c r="CW73" s="170"/>
      <c r="CX73" s="170"/>
      <c r="CY73" s="170"/>
      <c r="CZ73" s="170"/>
      <c r="DA73" s="170"/>
      <c r="DB73" s="170"/>
      <c r="DC73" s="170"/>
      <c r="DD73" s="170"/>
      <c r="DE73" s="170"/>
      <c r="DF73" s="170"/>
      <c r="DG73" s="170"/>
      <c r="DH73" s="170"/>
      <c r="DI73" s="170"/>
      <c r="DJ73" s="170"/>
      <c r="DK73" s="170"/>
      <c r="DL73" s="170"/>
      <c r="DM73" s="170"/>
      <c r="DN73" s="170"/>
      <c r="DO73" s="170"/>
      <c r="DP73" s="170"/>
      <c r="DQ73" s="170"/>
      <c r="DR73" s="170"/>
      <c r="DS73" s="170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  <c r="EE73" s="170"/>
      <c r="EF73" s="170"/>
      <c r="EG73" s="170"/>
      <c r="EH73" s="170"/>
    </row>
    <row r="74" spans="2:138">
      <c r="B74" t="s">
        <v>430</v>
      </c>
      <c r="D74" s="3"/>
      <c r="F74" s="6">
        <f>F69+F71-F73-F72</f>
        <v>0</v>
      </c>
      <c r="G74" s="6">
        <f t="shared" ref="G74:R74" si="83">G69+G71-G73</f>
        <v>0</v>
      </c>
      <c r="H74" s="6">
        <f t="shared" si="83"/>
        <v>0</v>
      </c>
      <c r="I74" s="6">
        <f t="shared" si="83"/>
        <v>0</v>
      </c>
      <c r="J74" s="6">
        <f t="shared" si="83"/>
        <v>0</v>
      </c>
      <c r="K74" s="6">
        <f t="shared" si="83"/>
        <v>0</v>
      </c>
      <c r="L74" s="6">
        <f t="shared" si="83"/>
        <v>0</v>
      </c>
      <c r="M74" s="6">
        <f t="shared" si="83"/>
        <v>0</v>
      </c>
      <c r="N74" s="6">
        <f t="shared" si="83"/>
        <v>0</v>
      </c>
      <c r="O74" s="6">
        <f t="shared" si="83"/>
        <v>0</v>
      </c>
      <c r="P74" s="6">
        <f t="shared" si="83"/>
        <v>0</v>
      </c>
      <c r="Q74" s="6">
        <f t="shared" ca="1" si="83"/>
        <v>326386570.26713079</v>
      </c>
      <c r="R74" s="6">
        <f t="shared" ca="1" si="83"/>
        <v>326386570.26713079</v>
      </c>
      <c r="S74" s="6">
        <f t="shared" ref="S74:AD74" ca="1" si="84">S69+S71-S73</f>
        <v>326386570.26713079</v>
      </c>
      <c r="T74" s="6">
        <f t="shared" ca="1" si="84"/>
        <v>326386570.26713079</v>
      </c>
      <c r="U74" s="6">
        <f t="shared" ca="1" si="84"/>
        <v>326386570.26713079</v>
      </c>
      <c r="V74" s="6">
        <f t="shared" ca="1" si="84"/>
        <v>326386570.26713079</v>
      </c>
      <c r="W74" s="6">
        <f t="shared" ca="1" si="84"/>
        <v>326386570.26713079</v>
      </c>
      <c r="X74" s="6">
        <f t="shared" ca="1" si="84"/>
        <v>326386570.26713079</v>
      </c>
      <c r="Y74" s="6">
        <f t="shared" ca="1" si="84"/>
        <v>326386570.26713079</v>
      </c>
      <c r="Z74" s="6">
        <f t="shared" ca="1" si="84"/>
        <v>326386570.26713079</v>
      </c>
      <c r="AA74" s="6">
        <f ca="1">AA69+AA71-AA73</f>
        <v>326386570.26713079</v>
      </c>
      <c r="AB74" s="6">
        <f t="shared" ca="1" si="84"/>
        <v>326386570.26713079</v>
      </c>
      <c r="AC74" s="6">
        <f t="shared" ca="1" si="84"/>
        <v>326386570.26713079</v>
      </c>
      <c r="AD74" s="6">
        <f t="shared" ca="1" si="84"/>
        <v>326386570.26713079</v>
      </c>
      <c r="AE74" s="6">
        <f t="shared" ref="AE74:AJ74" ca="1" si="85">AE69+AE71-AE73</f>
        <v>326386570.26713079</v>
      </c>
      <c r="AF74" s="6">
        <f t="shared" ca="1" si="85"/>
        <v>326386570.26713079</v>
      </c>
      <c r="AG74" s="6">
        <f t="shared" ca="1" si="85"/>
        <v>326386570.26713079</v>
      </c>
      <c r="AH74" s="6">
        <f t="shared" ca="1" si="85"/>
        <v>326386570.26713079</v>
      </c>
      <c r="AI74" s="6">
        <f t="shared" ca="1" si="85"/>
        <v>326386570.26713079</v>
      </c>
      <c r="AJ74" s="6">
        <f t="shared" ca="1" si="85"/>
        <v>326386570.26713079</v>
      </c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170"/>
      <c r="DH74" s="170"/>
      <c r="DI74" s="170"/>
      <c r="DJ74" s="170"/>
      <c r="DK74" s="170"/>
      <c r="DL74" s="170"/>
      <c r="DM74" s="170"/>
      <c r="DN74" s="170"/>
      <c r="DO74" s="170"/>
      <c r="DP74" s="170"/>
      <c r="DQ74" s="170"/>
      <c r="DR74" s="170"/>
      <c r="DS74" s="170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  <c r="EE74" s="170"/>
      <c r="EF74" s="170"/>
      <c r="EG74" s="170"/>
      <c r="EH74" s="170"/>
    </row>
    <row r="75" spans="2:138">
      <c r="D75" s="3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  <c r="EE75" s="170"/>
      <c r="EF75" s="170"/>
      <c r="EG75" s="170"/>
      <c r="EH75" s="170"/>
    </row>
    <row r="76" spans="2:138" ht="13.8" thickBot="1">
      <c r="B76" t="s">
        <v>433</v>
      </c>
      <c r="D76" s="19">
        <f ca="1">SUM(F76:AJ76)</f>
        <v>479377840.06728488</v>
      </c>
      <c r="F76" s="6">
        <f ca="1">IF(F13&lt;='Phase I - Summary'!$J$47,-F53+F66+F71-F70-F72-F73,0)</f>
        <v>-44629803</v>
      </c>
      <c r="G76" s="6">
        <f ca="1">IF(G13&lt;='Phase I - Summary'!$J$47,-G53+G66+G71-G70-G72-G73,0)</f>
        <v>0</v>
      </c>
      <c r="H76" s="6">
        <f ca="1">IF(H13&lt;='Phase I - Summary'!$J$47,-H53+H66+H71-H70-H72-H73,0)</f>
        <v>-14234785.807418287</v>
      </c>
      <c r="I76" s="6">
        <f ca="1">IF(I13&lt;='Phase I - Summary'!$J$47,-I53+I66+I71-I70-I72-I73,0)</f>
        <v>0</v>
      </c>
      <c r="J76" s="6">
        <f ca="1">IF(J13&lt;='Phase I - Summary'!$J$47,-J53+J66+J71-J70-J72-J73,0)</f>
        <v>0</v>
      </c>
      <c r="K76" s="6">
        <f ca="1">IF(K13&lt;='Phase I - Summary'!$J$47,-K53+K66+K71-K70-K72-K73,0)</f>
        <v>-286931452.09909821</v>
      </c>
      <c r="L76" s="6">
        <f ca="1">IF(L13&lt;='Phase I - Summary'!$J$47,-L53+L66+L71-L70-L72-L73,0)</f>
        <v>18371698.031732999</v>
      </c>
      <c r="M76" s="6">
        <f ca="1">IF(M13&lt;='Phase I - Summary'!$J$47,-M53+M66+M71-M70-M72-M73,0)</f>
        <v>18868497.730574351</v>
      </c>
      <c r="N76" s="6">
        <f ca="1">IF(N13&lt;='Phase I - Summary'!$J$47,-N53+N66+N71-N70-N72-N73,0)</f>
        <v>19377668.662838519</v>
      </c>
      <c r="O76" s="6">
        <f ca="1">IF(O13&lt;='Phase I - Summary'!$J$47,-O53+O66+O71-O70-O72-O73,0)</f>
        <v>19899468.047534227</v>
      </c>
      <c r="P76" s="6">
        <f ca="1">IF(P13&lt;='Phase I - Summary'!$J$47,-P53+P66+P71-P70-P72-P73,0)</f>
        <v>20434155.685539678</v>
      </c>
      <c r="Q76" s="6">
        <f ca="1">IF(Q13&lt;='Phase I - Summary'!$J$47,-Q53+Q66+Q71-Q70-Q72-Q73,0)</f>
        <v>728222392.81558156</v>
      </c>
      <c r="R76" s="6">
        <f>IF(R13&lt;='Phase I - Summary'!$J$47,-R53+R66+R71-R70-R72-R73,0)</f>
        <v>0</v>
      </c>
      <c r="S76" s="6">
        <f>IF(S13&lt;='Phase I - Summary'!$J$47,-S53+S66+S71-S70-S72-S73,0)</f>
        <v>0</v>
      </c>
      <c r="T76" s="6">
        <f>IF(T13&lt;='Phase I - Summary'!$J$47,-T53+T66+T71-T70-T72-T73,0)</f>
        <v>0</v>
      </c>
      <c r="U76" s="6">
        <f>IF(U13&lt;='Phase I - Summary'!$J$47,-U53+U66+U71-U70-U72-U73,0)</f>
        <v>0</v>
      </c>
      <c r="V76" s="6">
        <f>IF(V13&lt;='Phase I - Summary'!$J$47,-V53+V66+V71-V70-V72-V73,0)</f>
        <v>0</v>
      </c>
      <c r="W76" s="6">
        <f>IF(W13&lt;='Phase I - Summary'!$J$47,-W53+W66+W71-W70-W72-W73,0)</f>
        <v>0</v>
      </c>
      <c r="X76" s="6">
        <f>IF(X13&lt;='Phase I - Summary'!$J$47,-X53+X66+X71-X70-X72-X73,0)</f>
        <v>0</v>
      </c>
      <c r="Y76" s="6">
        <f>IF(Y13&lt;='Phase I - Summary'!$J$47,-Y53+Y66+Y71-Y70-Y72-Y73,0)</f>
        <v>0</v>
      </c>
      <c r="Z76" s="6">
        <f>IF(Z13&lt;='Phase I - Summary'!$J$47,-Z53+Z66+Z71-Z70-Z72-Z73,0)</f>
        <v>0</v>
      </c>
      <c r="AA76" s="6">
        <f>IF(AA13&lt;='Phase I - Summary'!$J$47,-AA53+AA66+AA71-AA70-AA72-AA73,0)</f>
        <v>0</v>
      </c>
      <c r="AB76" s="6">
        <f>IF(AB13&lt;='Phase I - Summary'!$J$47,-AB53+AB66+AB71-AB70-AB72-AB73,0)</f>
        <v>0</v>
      </c>
      <c r="AC76" s="6">
        <f>IF(AC13&lt;='Phase I - Summary'!$J$47,-AC53+AC66+AC71-AC70-AC72-AC73,0)</f>
        <v>0</v>
      </c>
      <c r="AD76" s="6">
        <f>IF(AD13&lt;='Phase I - Summary'!$J$47,-AD53+AD66+AD71-AD70-AD72-AD73,0)</f>
        <v>0</v>
      </c>
      <c r="AE76" s="6">
        <f>IF(AE13&lt;='Phase I - Summary'!$J$47,-AE53+AE66+AE71-AE70-AE72-AE73,0)</f>
        <v>0</v>
      </c>
      <c r="AF76" s="6">
        <f>IF(AF13&lt;='Phase I - Summary'!$J$47,-AF53+AF66+AF71-AF70-AF72-AF73,0)</f>
        <v>0</v>
      </c>
      <c r="AG76" s="6">
        <f>IF(AG13&lt;='Phase I - Summary'!$J$47,-AG53+AG66+AG71-AG70-AG72-AG73,0)</f>
        <v>0</v>
      </c>
      <c r="AH76" s="6">
        <f>IF(AH13&lt;='Phase I - Summary'!$J$47,-AH53+AH66+AH71-AH70-AH72-AH73,0)</f>
        <v>0</v>
      </c>
      <c r="AI76" s="6">
        <f>IF(AI13&lt;='Phase I - Summary'!$J$47,-AI53+AI66+AI71-AI70-AI72-AI73,0)</f>
        <v>0</v>
      </c>
      <c r="AJ76" s="6">
        <f>IF(AJ13&lt;='Phase I - Summary'!$J$47,-AJ53+AJ66+AJ71-AJ70-AJ72-AJ73,0)</f>
        <v>0</v>
      </c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170"/>
      <c r="DH76" s="170"/>
      <c r="DI76" s="170"/>
      <c r="DJ76" s="170"/>
      <c r="DK76" s="170"/>
      <c r="DL76" s="170"/>
      <c r="DM76" s="170"/>
      <c r="DN76" s="170"/>
      <c r="DO76" s="170"/>
      <c r="DP76" s="170"/>
      <c r="DQ76" s="170"/>
      <c r="DR76" s="170"/>
      <c r="DS76" s="170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  <c r="EE76" s="170"/>
      <c r="EF76" s="170"/>
      <c r="EG76" s="170"/>
      <c r="EH76" s="170"/>
    </row>
    <row r="77" spans="2:138" ht="14.4">
      <c r="B77" s="24" t="s">
        <v>434</v>
      </c>
      <c r="C77" s="25"/>
      <c r="D77" s="26">
        <f ca="1">IRR(F76:AJ76)</f>
        <v>0.14168304666357345</v>
      </c>
    </row>
    <row r="78" spans="2:138" ht="15" thickBot="1">
      <c r="B78" s="27" t="s">
        <v>435</v>
      </c>
      <c r="C78" s="28"/>
      <c r="D78" s="29">
        <f ca="1">-SUMIF(F76:DV76,"&gt;0")/SUMIF(F76:DV76,"&lt;0")</f>
        <v>2.3863022804152965</v>
      </c>
    </row>
  </sheetData>
  <printOptions horizontalCentered="1"/>
  <pageMargins left="0.7" right="0.7" top="0.75" bottom="0.75" header="0.3" footer="0.3"/>
  <pageSetup paperSize="3" scale="70" fitToWidth="0" orientation="landscape" r:id="rId1"/>
  <headerFooter>
    <oddHeader xml:space="preserve">&amp;L2019 ULI Hines Student Competition&amp;R2019-331 &amp;A </oddHeader>
  </headerFooter>
  <colBreaks count="1" manualBreakCount="1">
    <brk id="17" min="1" max="77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4C111-19CE-4AE5-B713-7822EEDCD856}">
  <sheetPr>
    <tabColor rgb="FF002060"/>
  </sheetPr>
  <dimension ref="A8:AK88"/>
  <sheetViews>
    <sheetView showGridLines="0" view="pageBreakPreview" zoomScale="80" zoomScaleNormal="100" zoomScaleSheetLayoutView="80" workbookViewId="0"/>
  </sheetViews>
  <sheetFormatPr defaultColWidth="12.44140625" defaultRowHeight="15.6"/>
  <cols>
    <col min="1" max="3" width="1.88671875" style="58" customWidth="1"/>
    <col min="4" max="4" width="6.44140625" style="58" bestFit="1" customWidth="1"/>
    <col min="5" max="5" width="12.44140625" style="58"/>
    <col min="6" max="6" width="16.77734375" style="58" bestFit="1" customWidth="1"/>
    <col min="7" max="7" width="17.44140625" style="58" bestFit="1" customWidth="1"/>
    <col min="8" max="18" width="14.6640625" style="58" bestFit="1" customWidth="1"/>
    <col min="19" max="19" width="15.21875" style="58" bestFit="1" customWidth="1"/>
    <col min="20" max="20" width="12.77734375" style="58" bestFit="1" customWidth="1"/>
    <col min="21" max="16384" width="12.44140625" style="58"/>
  </cols>
  <sheetData>
    <row r="8" spans="1:19">
      <c r="B8" s="410" t="s">
        <v>762</v>
      </c>
    </row>
    <row r="9" spans="1:19">
      <c r="B9" s="411" t="s">
        <v>766</v>
      </c>
    </row>
    <row r="11" spans="1:19">
      <c r="A11" s="58" t="s">
        <v>472</v>
      </c>
      <c r="B11" s="59" t="s">
        <v>473</v>
      </c>
      <c r="C11" s="59"/>
      <c r="D11" s="59"/>
      <c r="E11" s="59"/>
      <c r="F11" s="59"/>
      <c r="G11" s="59"/>
      <c r="I11" s="59" t="s">
        <v>474</v>
      </c>
      <c r="J11" s="59"/>
      <c r="K11" s="59"/>
      <c r="L11" s="59"/>
      <c r="M11" s="59"/>
      <c r="O11" s="59" t="s">
        <v>475</v>
      </c>
      <c r="P11" s="59"/>
      <c r="Q11" s="59"/>
      <c r="R11" s="59"/>
    </row>
    <row r="12" spans="1:19">
      <c r="B12" s="58" t="s">
        <v>476</v>
      </c>
      <c r="G12" s="163">
        <f>ROUNDDOWN(G15/G16,0)</f>
        <v>351</v>
      </c>
      <c r="I12" s="60" t="s">
        <v>477</v>
      </c>
      <c r="O12" s="58" t="s">
        <v>478</v>
      </c>
      <c r="R12" s="61">
        <f ca="1">MAX(G27:G29)</f>
        <v>88420316.820977852</v>
      </c>
    </row>
    <row r="13" spans="1:19">
      <c r="B13" s="58" t="s">
        <v>479</v>
      </c>
      <c r="F13" s="62"/>
      <c r="G13" s="99">
        <f>'Area Matrix'!D19</f>
        <v>413326.89999999997</v>
      </c>
      <c r="I13" s="58" t="s">
        <v>480</v>
      </c>
      <c r="M13" s="653">
        <v>1400</v>
      </c>
      <c r="O13" s="58" t="s">
        <v>460</v>
      </c>
      <c r="R13" s="578">
        <v>5.6000000000000001E-2</v>
      </c>
    </row>
    <row r="14" spans="1:19">
      <c r="B14" s="58" t="s">
        <v>625</v>
      </c>
      <c r="G14" s="583">
        <v>0.85</v>
      </c>
      <c r="I14" s="58" t="s">
        <v>481</v>
      </c>
      <c r="M14" s="653">
        <v>1500</v>
      </c>
      <c r="O14" s="58" t="s">
        <v>482</v>
      </c>
      <c r="R14" s="579">
        <v>20</v>
      </c>
    </row>
    <row r="15" spans="1:19">
      <c r="B15" s="58" t="s">
        <v>557</v>
      </c>
      <c r="G15" s="162">
        <f>G13*G14</f>
        <v>351327.86499999993</v>
      </c>
      <c r="I15" s="58" t="s">
        <v>484</v>
      </c>
      <c r="M15" s="653">
        <v>1700</v>
      </c>
      <c r="O15" s="58" t="s">
        <v>485</v>
      </c>
      <c r="R15" s="61">
        <f ca="1">PMT(R13/12,R14*12,R12)</f>
        <v>-613236.91037611174</v>
      </c>
      <c r="S15" s="65"/>
    </row>
    <row r="16" spans="1:19">
      <c r="B16" s="58" t="s">
        <v>21</v>
      </c>
      <c r="G16" s="652">
        <v>1000</v>
      </c>
      <c r="I16" s="58" t="s">
        <v>487</v>
      </c>
      <c r="M16" s="583">
        <v>0.05</v>
      </c>
    </row>
    <row r="17" spans="1:18">
      <c r="B17" s="58" t="s">
        <v>483</v>
      </c>
      <c r="E17" s="64"/>
      <c r="F17" s="64"/>
      <c r="G17" s="583">
        <v>0.2</v>
      </c>
      <c r="I17" s="58" t="s">
        <v>489</v>
      </c>
      <c r="M17" s="583">
        <v>2.5000000000000001E-2</v>
      </c>
      <c r="O17" s="58" t="s">
        <v>467</v>
      </c>
      <c r="R17" s="581">
        <v>0.7</v>
      </c>
    </row>
    <row r="18" spans="1:18">
      <c r="B18" s="58" t="s">
        <v>486</v>
      </c>
      <c r="G18" s="583">
        <v>0.5</v>
      </c>
      <c r="I18" s="58" t="s">
        <v>490</v>
      </c>
      <c r="M18" s="584">
        <v>6</v>
      </c>
      <c r="O18" s="58" t="s">
        <v>491</v>
      </c>
      <c r="R18" s="582">
        <v>1.33</v>
      </c>
    </row>
    <row r="19" spans="1:18">
      <c r="B19" s="58" t="s">
        <v>796</v>
      </c>
      <c r="G19" s="583">
        <v>0.3</v>
      </c>
      <c r="I19" s="58" t="s">
        <v>492</v>
      </c>
      <c r="M19" s="584">
        <v>29</v>
      </c>
      <c r="O19" s="58" t="s">
        <v>493</v>
      </c>
      <c r="R19" s="581">
        <v>0.08</v>
      </c>
    </row>
    <row r="20" spans="1:18">
      <c r="B20" s="58" t="s">
        <v>496</v>
      </c>
      <c r="G20" s="99">
        <f>G12/1.5</f>
        <v>234</v>
      </c>
      <c r="I20" s="58" t="s">
        <v>494</v>
      </c>
      <c r="M20" s="585">
        <v>0.3</v>
      </c>
      <c r="O20" s="215"/>
      <c r="P20" s="215"/>
      <c r="Q20" s="215"/>
      <c r="R20" s="216"/>
    </row>
    <row r="21" spans="1:18">
      <c r="G21" s="63"/>
      <c r="I21" s="58" t="s">
        <v>497</v>
      </c>
      <c r="M21" s="583">
        <v>0.02</v>
      </c>
      <c r="R21" s="67"/>
    </row>
    <row r="22" spans="1:18">
      <c r="G22" s="66"/>
      <c r="I22" s="58" t="s">
        <v>728</v>
      </c>
      <c r="M22" s="378">
        <f>Taxes!$H$13</f>
        <v>0.04</v>
      </c>
      <c r="O22" s="59" t="s">
        <v>499</v>
      </c>
      <c r="P22" s="59"/>
      <c r="Q22" s="59"/>
      <c r="R22" s="59"/>
    </row>
    <row r="23" spans="1:18">
      <c r="I23" s="58" t="s">
        <v>498</v>
      </c>
      <c r="M23" s="583">
        <v>0.02</v>
      </c>
      <c r="O23" s="58" t="s">
        <v>28</v>
      </c>
      <c r="Q23" s="69">
        <f ca="1">R23/R25</f>
        <v>0.30000000000000004</v>
      </c>
      <c r="R23" s="61">
        <f ca="1">R25-R24</f>
        <v>37894421.494704798</v>
      </c>
    </row>
    <row r="24" spans="1:18">
      <c r="I24" s="58" t="s">
        <v>500</v>
      </c>
      <c r="K24" s="68"/>
      <c r="M24" s="653">
        <v>1920</v>
      </c>
      <c r="O24" s="70" t="s">
        <v>478</v>
      </c>
      <c r="P24" s="70"/>
      <c r="Q24" s="71">
        <f ca="1">R24/R25</f>
        <v>0.7</v>
      </c>
      <c r="R24" s="72">
        <f ca="1">R12</f>
        <v>88420316.820977852</v>
      </c>
    </row>
    <row r="25" spans="1:18">
      <c r="G25" s="73"/>
      <c r="I25" s="58" t="s">
        <v>501</v>
      </c>
      <c r="K25" s="68"/>
      <c r="M25" s="583">
        <v>0.1</v>
      </c>
      <c r="O25" s="58" t="s">
        <v>16</v>
      </c>
      <c r="R25" s="61">
        <f ca="1">R30</f>
        <v>126314738.31568265</v>
      </c>
    </row>
    <row r="26" spans="1:18">
      <c r="B26" s="59" t="s">
        <v>502</v>
      </c>
      <c r="C26" s="59"/>
      <c r="D26" s="59"/>
      <c r="E26" s="59"/>
      <c r="F26" s="59"/>
      <c r="G26" s="59"/>
      <c r="I26" s="58" t="s">
        <v>503</v>
      </c>
      <c r="K26" s="68"/>
      <c r="M26" s="579">
        <v>10</v>
      </c>
    </row>
    <row r="27" spans="1:18">
      <c r="B27" s="58" t="s">
        <v>467</v>
      </c>
      <c r="G27" s="74">
        <f ca="1">R17*R28</f>
        <v>88420316.820977852</v>
      </c>
      <c r="I27" s="58" t="s">
        <v>504</v>
      </c>
      <c r="K27" s="68"/>
      <c r="M27" s="583">
        <v>0.08</v>
      </c>
      <c r="O27" s="59" t="s">
        <v>449</v>
      </c>
      <c r="P27" s="59"/>
      <c r="Q27" s="59"/>
      <c r="R27" s="59"/>
    </row>
    <row r="28" spans="1:18">
      <c r="B28" s="58" t="s">
        <v>491</v>
      </c>
      <c r="G28" s="61">
        <f>H58/R19</f>
        <v>22877311.5</v>
      </c>
      <c r="I28" s="58" t="s">
        <v>505</v>
      </c>
      <c r="M28" s="578">
        <v>5.6000000000000001E-2</v>
      </c>
      <c r="O28" s="58" t="s">
        <v>506</v>
      </c>
      <c r="R28" s="74">
        <f ca="1">SUM('Area Matrix'!D34,'Area Matrix'!H34,'Area Matrix'!L34,'Area Matrix'!P34,'Area Matrix'!T34)</f>
        <v>126314738.31568265</v>
      </c>
    </row>
    <row r="29" spans="1:18">
      <c r="B29" s="58" t="s">
        <v>493</v>
      </c>
      <c r="G29" s="61">
        <f>PV(R13/12,R14*12,-H58/R18/12,0)</f>
        <v>16534301.985597009</v>
      </c>
      <c r="O29" s="70" t="s">
        <v>507</v>
      </c>
      <c r="P29" s="70"/>
      <c r="Q29" s="70"/>
      <c r="R29" s="588">
        <v>0</v>
      </c>
    </row>
    <row r="30" spans="1:18">
      <c r="O30" s="58" t="s">
        <v>453</v>
      </c>
      <c r="R30" s="61">
        <f ca="1">SUM(R28:R29)</f>
        <v>126314738.31568265</v>
      </c>
    </row>
    <row r="32" spans="1:18">
      <c r="A32" s="58" t="s">
        <v>472</v>
      </c>
      <c r="B32" s="59" t="s">
        <v>508</v>
      </c>
      <c r="C32" s="59"/>
      <c r="D32" s="59"/>
      <c r="E32" s="59"/>
      <c r="F32" s="75"/>
      <c r="G32" s="75">
        <f>F32+1</f>
        <v>1</v>
      </c>
      <c r="H32" s="75">
        <f>G32+1</f>
        <v>2</v>
      </c>
      <c r="I32" s="75">
        <f t="shared" ref="I32:R32" si="0">H32+1</f>
        <v>3</v>
      </c>
      <c r="J32" s="75">
        <f t="shared" si="0"/>
        <v>4</v>
      </c>
      <c r="K32" s="75">
        <f t="shared" si="0"/>
        <v>5</v>
      </c>
      <c r="L32" s="75">
        <f t="shared" si="0"/>
        <v>6</v>
      </c>
      <c r="M32" s="75">
        <f t="shared" si="0"/>
        <v>7</v>
      </c>
      <c r="N32" s="75">
        <f t="shared" si="0"/>
        <v>8</v>
      </c>
      <c r="O32" s="75">
        <f t="shared" si="0"/>
        <v>9</v>
      </c>
      <c r="P32" s="75">
        <f t="shared" si="0"/>
        <v>10</v>
      </c>
      <c r="Q32" s="75">
        <f t="shared" si="0"/>
        <v>11</v>
      </c>
      <c r="R32" s="75">
        <f t="shared" si="0"/>
        <v>12</v>
      </c>
    </row>
    <row r="33" spans="1:37">
      <c r="B33" s="60" t="s">
        <v>509</v>
      </c>
    </row>
    <row r="34" spans="1:37">
      <c r="B34" s="58" t="s">
        <v>510</v>
      </c>
      <c r="G34" s="61">
        <f t="shared" ref="G34:R34" si="1">IF(G32&gt;=$M$18,$M$13*$M$19*$G$17*($L$32),$M$13*$G$17*(G$32*$M$19))</f>
        <v>8120</v>
      </c>
      <c r="H34" s="61">
        <f t="shared" si="1"/>
        <v>16240</v>
      </c>
      <c r="I34" s="61">
        <f t="shared" si="1"/>
        <v>24360</v>
      </c>
      <c r="J34" s="61">
        <f t="shared" si="1"/>
        <v>32480</v>
      </c>
      <c r="K34" s="61">
        <f t="shared" si="1"/>
        <v>40600</v>
      </c>
      <c r="L34" s="61">
        <f t="shared" si="1"/>
        <v>48720</v>
      </c>
      <c r="M34" s="61">
        <f t="shared" si="1"/>
        <v>48720</v>
      </c>
      <c r="N34" s="61">
        <f t="shared" si="1"/>
        <v>48720</v>
      </c>
      <c r="O34" s="61">
        <f t="shared" si="1"/>
        <v>48720</v>
      </c>
      <c r="P34" s="61">
        <f t="shared" si="1"/>
        <v>48720</v>
      </c>
      <c r="Q34" s="61">
        <f t="shared" si="1"/>
        <v>48720</v>
      </c>
      <c r="R34" s="61">
        <f t="shared" si="1"/>
        <v>48720</v>
      </c>
      <c r="S34" s="65"/>
      <c r="T34" s="65"/>
    </row>
    <row r="35" spans="1:37">
      <c r="B35" s="58" t="s">
        <v>511</v>
      </c>
      <c r="G35" s="61">
        <f t="shared" ref="G35:R35" si="2">IF(G32&gt;=$M$18,$M$14*$M$19*$G$18*($L$32),$M$14*$G$18*(G$32*$M$19))</f>
        <v>21750</v>
      </c>
      <c r="H35" s="61">
        <f t="shared" si="2"/>
        <v>43500</v>
      </c>
      <c r="I35" s="61">
        <f t="shared" si="2"/>
        <v>65250</v>
      </c>
      <c r="J35" s="61">
        <f t="shared" si="2"/>
        <v>87000</v>
      </c>
      <c r="K35" s="61">
        <f t="shared" si="2"/>
        <v>108750</v>
      </c>
      <c r="L35" s="61">
        <f t="shared" si="2"/>
        <v>130500</v>
      </c>
      <c r="M35" s="61">
        <f t="shared" si="2"/>
        <v>130500</v>
      </c>
      <c r="N35" s="61">
        <f t="shared" si="2"/>
        <v>130500</v>
      </c>
      <c r="O35" s="61">
        <f t="shared" si="2"/>
        <v>130500</v>
      </c>
      <c r="P35" s="61">
        <f t="shared" si="2"/>
        <v>130500</v>
      </c>
      <c r="Q35" s="61">
        <f t="shared" si="2"/>
        <v>130500</v>
      </c>
      <c r="R35" s="61">
        <f t="shared" si="2"/>
        <v>130500</v>
      </c>
    </row>
    <row r="36" spans="1:37">
      <c r="B36" s="58" t="s">
        <v>512</v>
      </c>
      <c r="G36" s="61">
        <f t="shared" ref="G36:R36" si="3">IF(G32&gt;=$M$18,$M$15*$M$19*$G$19*($L$32),$M$15*$G$19*(G$32*$M$19))</f>
        <v>14790</v>
      </c>
      <c r="H36" s="61">
        <f t="shared" si="3"/>
        <v>29580</v>
      </c>
      <c r="I36" s="61">
        <f t="shared" si="3"/>
        <v>44370</v>
      </c>
      <c r="J36" s="61">
        <f t="shared" si="3"/>
        <v>59160</v>
      </c>
      <c r="K36" s="61">
        <f t="shared" si="3"/>
        <v>73950</v>
      </c>
      <c r="L36" s="61">
        <f t="shared" si="3"/>
        <v>88740</v>
      </c>
      <c r="M36" s="61">
        <f t="shared" si="3"/>
        <v>88740</v>
      </c>
      <c r="N36" s="61">
        <f t="shared" si="3"/>
        <v>88740</v>
      </c>
      <c r="O36" s="61">
        <f t="shared" si="3"/>
        <v>88740</v>
      </c>
      <c r="P36" s="61">
        <f t="shared" si="3"/>
        <v>88740</v>
      </c>
      <c r="Q36" s="61">
        <f t="shared" si="3"/>
        <v>88740</v>
      </c>
      <c r="R36" s="61">
        <f t="shared" si="3"/>
        <v>88740</v>
      </c>
    </row>
    <row r="37" spans="1:37">
      <c r="B37" s="76" t="s">
        <v>16</v>
      </c>
      <c r="C37" s="76"/>
      <c r="D37" s="76"/>
      <c r="E37" s="76"/>
      <c r="F37" s="76"/>
      <c r="G37" s="77">
        <f>SUM(G34:G36)</f>
        <v>44660</v>
      </c>
      <c r="H37" s="77">
        <f t="shared" ref="H37:R37" si="4">SUM(H34:H36)</f>
        <v>89320</v>
      </c>
      <c r="I37" s="77">
        <f t="shared" si="4"/>
        <v>133980</v>
      </c>
      <c r="J37" s="77">
        <f t="shared" si="4"/>
        <v>178640</v>
      </c>
      <c r="K37" s="77">
        <f t="shared" si="4"/>
        <v>223300</v>
      </c>
      <c r="L37" s="77">
        <f t="shared" si="4"/>
        <v>267960</v>
      </c>
      <c r="M37" s="77">
        <f t="shared" si="4"/>
        <v>267960</v>
      </c>
      <c r="N37" s="77">
        <f t="shared" si="4"/>
        <v>267960</v>
      </c>
      <c r="O37" s="77">
        <f t="shared" si="4"/>
        <v>267960</v>
      </c>
      <c r="P37" s="77">
        <f t="shared" si="4"/>
        <v>267960</v>
      </c>
      <c r="Q37" s="77">
        <f t="shared" si="4"/>
        <v>267960</v>
      </c>
      <c r="R37" s="77">
        <f t="shared" si="4"/>
        <v>267960</v>
      </c>
    </row>
    <row r="39" spans="1:37">
      <c r="A39" s="58" t="s">
        <v>472</v>
      </c>
      <c r="B39" s="59" t="s">
        <v>513</v>
      </c>
      <c r="C39" s="59"/>
      <c r="D39" s="59"/>
      <c r="E39" s="59"/>
      <c r="F39" s="59"/>
      <c r="G39" s="589">
        <v>0</v>
      </c>
      <c r="H39" s="78">
        <f>G39+1</f>
        <v>1</v>
      </c>
      <c r="I39" s="78">
        <f t="shared" ref="I39:R39" si="5">H39+1</f>
        <v>2</v>
      </c>
      <c r="J39" s="78">
        <f t="shared" si="5"/>
        <v>3</v>
      </c>
      <c r="K39" s="78">
        <f t="shared" si="5"/>
        <v>4</v>
      </c>
      <c r="L39" s="78">
        <f t="shared" si="5"/>
        <v>5</v>
      </c>
      <c r="M39" s="78">
        <f t="shared" si="5"/>
        <v>6</v>
      </c>
      <c r="N39" s="78">
        <f t="shared" si="5"/>
        <v>7</v>
      </c>
      <c r="O39" s="78">
        <f t="shared" si="5"/>
        <v>8</v>
      </c>
      <c r="P39" s="78">
        <f t="shared" si="5"/>
        <v>9</v>
      </c>
      <c r="Q39" s="78">
        <f t="shared" si="5"/>
        <v>10</v>
      </c>
      <c r="R39" s="78">
        <f t="shared" si="5"/>
        <v>11</v>
      </c>
      <c r="S39" s="78">
        <f t="shared" ref="S39" si="6">R39+1</f>
        <v>12</v>
      </c>
      <c r="T39" s="78">
        <f t="shared" ref="T39" si="7">S39+1</f>
        <v>13</v>
      </c>
      <c r="U39" s="78">
        <f t="shared" ref="U39" si="8">T39+1</f>
        <v>14</v>
      </c>
      <c r="V39" s="78">
        <f t="shared" ref="V39" si="9">U39+1</f>
        <v>15</v>
      </c>
      <c r="W39" s="78">
        <f t="shared" ref="W39" si="10">V39+1</f>
        <v>16</v>
      </c>
      <c r="X39" s="78">
        <f t="shared" ref="X39" si="11">W39+1</f>
        <v>17</v>
      </c>
      <c r="Y39" s="78">
        <f t="shared" ref="Y39" si="12">X39+1</f>
        <v>18</v>
      </c>
      <c r="Z39" s="78">
        <f t="shared" ref="Z39" si="13">Y39+1</f>
        <v>19</v>
      </c>
      <c r="AA39" s="78">
        <f t="shared" ref="AA39" si="14">Z39+1</f>
        <v>20</v>
      </c>
      <c r="AB39" s="78">
        <f t="shared" ref="AB39" si="15">AA39+1</f>
        <v>21</v>
      </c>
      <c r="AC39" s="78">
        <f t="shared" ref="AC39" si="16">AB39+1</f>
        <v>22</v>
      </c>
      <c r="AD39" s="78">
        <f t="shared" ref="AD39" si="17">AC39+1</f>
        <v>23</v>
      </c>
      <c r="AE39" s="78">
        <f t="shared" ref="AE39" si="18">AD39+1</f>
        <v>24</v>
      </c>
      <c r="AF39" s="78">
        <f t="shared" ref="AF39" si="19">AE39+1</f>
        <v>25</v>
      </c>
      <c r="AG39" s="78">
        <f t="shared" ref="AG39" si="20">AF39+1</f>
        <v>26</v>
      </c>
      <c r="AH39" s="78">
        <f t="shared" ref="AH39" si="21">AG39+1</f>
        <v>27</v>
      </c>
      <c r="AI39" s="78">
        <f t="shared" ref="AI39" si="22">AH39+1</f>
        <v>28</v>
      </c>
      <c r="AJ39" s="78">
        <f t="shared" ref="AJ39" si="23">AI39+1</f>
        <v>29</v>
      </c>
      <c r="AK39" s="78">
        <f t="shared" ref="AK39" si="24">AJ39+1</f>
        <v>30</v>
      </c>
    </row>
    <row r="40" spans="1:37">
      <c r="B40" s="79" t="s">
        <v>412</v>
      </c>
      <c r="C40" s="79"/>
      <c r="D40" s="79"/>
      <c r="E40" s="79"/>
      <c r="F40" s="79"/>
      <c r="G40" s="79"/>
      <c r="H40" s="80">
        <f t="shared" ref="H40:AK40" si="25">1-$M$16</f>
        <v>0.95</v>
      </c>
      <c r="I40" s="80">
        <f t="shared" si="25"/>
        <v>0.95</v>
      </c>
      <c r="J40" s="80">
        <f t="shared" si="25"/>
        <v>0.95</v>
      </c>
      <c r="K40" s="80">
        <f t="shared" si="25"/>
        <v>0.95</v>
      </c>
      <c r="L40" s="80">
        <f t="shared" si="25"/>
        <v>0.95</v>
      </c>
      <c r="M40" s="80">
        <f t="shared" si="25"/>
        <v>0.95</v>
      </c>
      <c r="N40" s="80">
        <f t="shared" si="25"/>
        <v>0.95</v>
      </c>
      <c r="O40" s="80">
        <f t="shared" si="25"/>
        <v>0.95</v>
      </c>
      <c r="P40" s="80">
        <f t="shared" si="25"/>
        <v>0.95</v>
      </c>
      <c r="Q40" s="80">
        <f t="shared" si="25"/>
        <v>0.95</v>
      </c>
      <c r="R40" s="80">
        <f t="shared" si="25"/>
        <v>0.95</v>
      </c>
      <c r="S40" s="80">
        <f t="shared" si="25"/>
        <v>0.95</v>
      </c>
      <c r="T40" s="80">
        <f t="shared" si="25"/>
        <v>0.95</v>
      </c>
      <c r="U40" s="80">
        <f t="shared" si="25"/>
        <v>0.95</v>
      </c>
      <c r="V40" s="80">
        <f t="shared" si="25"/>
        <v>0.95</v>
      </c>
      <c r="W40" s="80">
        <f t="shared" si="25"/>
        <v>0.95</v>
      </c>
      <c r="X40" s="80">
        <f t="shared" si="25"/>
        <v>0.95</v>
      </c>
      <c r="Y40" s="80">
        <f t="shared" si="25"/>
        <v>0.95</v>
      </c>
      <c r="Z40" s="80">
        <f t="shared" si="25"/>
        <v>0.95</v>
      </c>
      <c r="AA40" s="80">
        <f t="shared" si="25"/>
        <v>0.95</v>
      </c>
      <c r="AB40" s="80">
        <f t="shared" si="25"/>
        <v>0.95</v>
      </c>
      <c r="AC40" s="80">
        <f t="shared" si="25"/>
        <v>0.95</v>
      </c>
      <c r="AD40" s="80">
        <f t="shared" si="25"/>
        <v>0.95</v>
      </c>
      <c r="AE40" s="80">
        <f t="shared" si="25"/>
        <v>0.95</v>
      </c>
      <c r="AF40" s="80">
        <f t="shared" si="25"/>
        <v>0.95</v>
      </c>
      <c r="AG40" s="80">
        <f t="shared" si="25"/>
        <v>0.95</v>
      </c>
      <c r="AH40" s="80">
        <f t="shared" si="25"/>
        <v>0.95</v>
      </c>
      <c r="AI40" s="80">
        <f t="shared" si="25"/>
        <v>0.95</v>
      </c>
      <c r="AJ40" s="80">
        <f t="shared" si="25"/>
        <v>0.95</v>
      </c>
      <c r="AK40" s="80">
        <f t="shared" si="25"/>
        <v>0.95</v>
      </c>
    </row>
    <row r="41" spans="1:37"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</row>
    <row r="42" spans="1:37">
      <c r="B42" s="58" t="s">
        <v>506</v>
      </c>
      <c r="G42" s="61">
        <f ca="1">-R30</f>
        <v>-126314738.31568265</v>
      </c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</row>
    <row r="44" spans="1:37">
      <c r="B44" s="79" t="s">
        <v>514</v>
      </c>
      <c r="G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</row>
    <row r="45" spans="1:37">
      <c r="B45" s="58" t="s">
        <v>515</v>
      </c>
      <c r="G45" s="61"/>
      <c r="H45" s="61">
        <f>SUM(G34:R34)</f>
        <v>462840</v>
      </c>
      <c r="I45" s="61">
        <f t="shared" ref="I45:R45" si="26">$G$12*$G$17*$M$13*(1+$M$17)^H39*12</f>
        <v>1208843.9999999998</v>
      </c>
      <c r="J45" s="61">
        <f t="shared" si="26"/>
        <v>1239065.0999999999</v>
      </c>
      <c r="K45" s="61">
        <f t="shared" si="26"/>
        <v>1270041.7274999998</v>
      </c>
      <c r="L45" s="61">
        <f t="shared" si="26"/>
        <v>1301792.7706874998</v>
      </c>
      <c r="M45" s="61">
        <f t="shared" si="26"/>
        <v>1334337.589954687</v>
      </c>
      <c r="N45" s="61">
        <f t="shared" si="26"/>
        <v>1367696.0297035542</v>
      </c>
      <c r="O45" s="61">
        <f t="shared" si="26"/>
        <v>1401888.4304461433</v>
      </c>
      <c r="P45" s="61">
        <f t="shared" si="26"/>
        <v>1436935.6412072966</v>
      </c>
      <c r="Q45" s="61">
        <f t="shared" si="26"/>
        <v>1472859.0322374788</v>
      </c>
      <c r="R45" s="61">
        <f t="shared" si="26"/>
        <v>1509680.5080434156</v>
      </c>
      <c r="S45" s="61">
        <f t="shared" ref="S45:AK45" si="27">$G$12*$G$17*$M$13*(1+$M$17)^R39*12</f>
        <v>1547422.5207445011</v>
      </c>
      <c r="T45" s="61">
        <f t="shared" si="27"/>
        <v>1586108.0837631135</v>
      </c>
      <c r="U45" s="61">
        <f t="shared" si="27"/>
        <v>1625760.7858571913</v>
      </c>
      <c r="V45" s="61">
        <f t="shared" si="27"/>
        <v>1666404.8055036208</v>
      </c>
      <c r="W45" s="61">
        <f t="shared" si="27"/>
        <v>1708064.9256412117</v>
      </c>
      <c r="X45" s="61">
        <f t="shared" si="27"/>
        <v>1750766.5487822418</v>
      </c>
      <c r="Y45" s="61">
        <f t="shared" si="27"/>
        <v>1794535.7125017974</v>
      </c>
      <c r="Z45" s="61">
        <f t="shared" si="27"/>
        <v>1839399.1053143423</v>
      </c>
      <c r="AA45" s="61">
        <f t="shared" si="27"/>
        <v>1885384.0829472011</v>
      </c>
      <c r="AB45" s="61">
        <f t="shared" si="27"/>
        <v>1932518.6850208808</v>
      </c>
      <c r="AC45" s="61">
        <f t="shared" si="27"/>
        <v>1980831.6521464027</v>
      </c>
      <c r="AD45" s="61">
        <f t="shared" si="27"/>
        <v>2030352.4434500628</v>
      </c>
      <c r="AE45" s="61">
        <f t="shared" si="27"/>
        <v>2081111.2545363144</v>
      </c>
      <c r="AF45" s="61">
        <f t="shared" si="27"/>
        <v>2133139.035899722</v>
      </c>
      <c r="AG45" s="61">
        <f t="shared" si="27"/>
        <v>2186467.5117972149</v>
      </c>
      <c r="AH45" s="61">
        <f t="shared" si="27"/>
        <v>2241129.1995921452</v>
      </c>
      <c r="AI45" s="61">
        <f t="shared" si="27"/>
        <v>2297157.4295819486</v>
      </c>
      <c r="AJ45" s="61">
        <f t="shared" si="27"/>
        <v>2354586.365321497</v>
      </c>
      <c r="AK45" s="61">
        <f t="shared" si="27"/>
        <v>2413451.024454535</v>
      </c>
    </row>
    <row r="46" spans="1:37">
      <c r="B46" s="58" t="s">
        <v>516</v>
      </c>
      <c r="G46" s="61"/>
      <c r="H46" s="61">
        <f>SUM(G35:R35)</f>
        <v>1239750</v>
      </c>
      <c r="I46" s="61">
        <f t="shared" ref="I46:R46" si="28">$G$12*$G$18*$M$14*(1+$M$17)^H39*12</f>
        <v>3237975</v>
      </c>
      <c r="J46" s="61">
        <f t="shared" si="28"/>
        <v>3318924.375</v>
      </c>
      <c r="K46" s="61">
        <f t="shared" si="28"/>
        <v>3401897.4843749991</v>
      </c>
      <c r="L46" s="61">
        <f t="shared" si="28"/>
        <v>3486944.9214843744</v>
      </c>
      <c r="M46" s="61">
        <f t="shared" si="28"/>
        <v>3574118.5445214836</v>
      </c>
      <c r="N46" s="61">
        <f t="shared" si="28"/>
        <v>3663471.5081345197</v>
      </c>
      <c r="O46" s="61">
        <f t="shared" si="28"/>
        <v>3755058.2958378829</v>
      </c>
      <c r="P46" s="61">
        <f t="shared" si="28"/>
        <v>3848934.7532338295</v>
      </c>
      <c r="Q46" s="61">
        <f t="shared" si="28"/>
        <v>3945158.1220646752</v>
      </c>
      <c r="R46" s="61">
        <f t="shared" si="28"/>
        <v>4043787.0751162926</v>
      </c>
      <c r="S46" s="61">
        <f t="shared" ref="S46:AK46" si="29">$G$12*$G$18*$M$14*(1+$M$17)^R39*12</f>
        <v>4144881.7519941991</v>
      </c>
      <c r="T46" s="61">
        <f t="shared" si="29"/>
        <v>4248503.7957940539</v>
      </c>
      <c r="U46" s="61">
        <f t="shared" si="29"/>
        <v>4354716.3906889046</v>
      </c>
      <c r="V46" s="61">
        <f t="shared" si="29"/>
        <v>4463584.3004561272</v>
      </c>
      <c r="W46" s="61">
        <f t="shared" si="29"/>
        <v>4575173.9079675311</v>
      </c>
      <c r="X46" s="61">
        <f t="shared" si="29"/>
        <v>4689553.2556667188</v>
      </c>
      <c r="Y46" s="61">
        <f t="shared" si="29"/>
        <v>4806792.0870583868</v>
      </c>
      <c r="Z46" s="61">
        <f t="shared" si="29"/>
        <v>4926961.8892348465</v>
      </c>
      <c r="AA46" s="61">
        <f t="shared" si="29"/>
        <v>5050135.9364657179</v>
      </c>
      <c r="AB46" s="61">
        <f t="shared" si="29"/>
        <v>5176389.3348773587</v>
      </c>
      <c r="AC46" s="61">
        <f t="shared" si="29"/>
        <v>5305799.0682492927</v>
      </c>
      <c r="AD46" s="61">
        <f t="shared" si="29"/>
        <v>5438444.0449555246</v>
      </c>
      <c r="AE46" s="61">
        <f t="shared" si="29"/>
        <v>5574405.1460794136</v>
      </c>
      <c r="AF46" s="61">
        <f t="shared" si="29"/>
        <v>5713765.2747313986</v>
      </c>
      <c r="AG46" s="61">
        <f t="shared" si="29"/>
        <v>5856609.4065996828</v>
      </c>
      <c r="AH46" s="61">
        <f t="shared" si="29"/>
        <v>6003024.6417646743</v>
      </c>
      <c r="AI46" s="61">
        <f t="shared" si="29"/>
        <v>6153100.2578087905</v>
      </c>
      <c r="AJ46" s="61">
        <f t="shared" si="29"/>
        <v>6306927.7642540103</v>
      </c>
      <c r="AK46" s="61">
        <f t="shared" si="29"/>
        <v>6464600.9583603609</v>
      </c>
    </row>
    <row r="47" spans="1:37">
      <c r="B47" s="58" t="s">
        <v>517</v>
      </c>
      <c r="G47" s="61"/>
      <c r="H47" s="61">
        <f>SUM(G36:R36)</f>
        <v>843030</v>
      </c>
      <c r="I47" s="61">
        <f t="shared" ref="I47:R47" si="30">$G$12*$G$19*$M$15*(1+$M$17)^H39*12</f>
        <v>2201822.9999999995</v>
      </c>
      <c r="J47" s="61">
        <f t="shared" si="30"/>
        <v>2256868.5749999997</v>
      </c>
      <c r="K47" s="61">
        <f t="shared" si="30"/>
        <v>2313290.2893749997</v>
      </c>
      <c r="L47" s="61">
        <f t="shared" si="30"/>
        <v>2371122.5466093747</v>
      </c>
      <c r="M47" s="61">
        <f t="shared" si="30"/>
        <v>2430400.6102746082</v>
      </c>
      <c r="N47" s="61">
        <f t="shared" si="30"/>
        <v>2491160.6255314737</v>
      </c>
      <c r="O47" s="61">
        <f t="shared" si="30"/>
        <v>2553439.6411697604</v>
      </c>
      <c r="P47" s="61">
        <f t="shared" si="30"/>
        <v>2617275.6321990043</v>
      </c>
      <c r="Q47" s="61">
        <f t="shared" si="30"/>
        <v>2682707.5230039791</v>
      </c>
      <c r="R47" s="61">
        <f t="shared" si="30"/>
        <v>2749775.2110790787</v>
      </c>
      <c r="S47" s="61">
        <f t="shared" ref="S47:AK47" si="31">$G$12*$G$19*$M$15*(1+$M$17)^R39*12</f>
        <v>2818519.5913560553</v>
      </c>
      <c r="T47" s="61">
        <f t="shared" si="31"/>
        <v>2888982.5811399566</v>
      </c>
      <c r="U47" s="61">
        <f t="shared" si="31"/>
        <v>2961207.1456684554</v>
      </c>
      <c r="V47" s="61">
        <f t="shared" si="31"/>
        <v>3035237.3243101663</v>
      </c>
      <c r="W47" s="61">
        <f t="shared" si="31"/>
        <v>3111118.257417921</v>
      </c>
      <c r="X47" s="61">
        <f t="shared" si="31"/>
        <v>3188896.213853369</v>
      </c>
      <c r="Y47" s="61">
        <f t="shared" si="31"/>
        <v>3268618.6191997025</v>
      </c>
      <c r="Z47" s="61">
        <f t="shared" si="31"/>
        <v>3350334.0846796953</v>
      </c>
      <c r="AA47" s="61">
        <f t="shared" si="31"/>
        <v>3434092.436796688</v>
      </c>
      <c r="AB47" s="61">
        <f t="shared" si="31"/>
        <v>3519944.7477166043</v>
      </c>
      <c r="AC47" s="61">
        <f t="shared" si="31"/>
        <v>3607943.3664095188</v>
      </c>
      <c r="AD47" s="61">
        <f t="shared" si="31"/>
        <v>3698141.9505697573</v>
      </c>
      <c r="AE47" s="61">
        <f t="shared" si="31"/>
        <v>3790595.499334001</v>
      </c>
      <c r="AF47" s="61">
        <f t="shared" si="31"/>
        <v>3885360.386817351</v>
      </c>
      <c r="AG47" s="61">
        <f t="shared" si="31"/>
        <v>3982494.3964877841</v>
      </c>
      <c r="AH47" s="61">
        <f t="shared" si="31"/>
        <v>4082056.756399978</v>
      </c>
      <c r="AI47" s="61">
        <f t="shared" si="31"/>
        <v>4184108.1753099775</v>
      </c>
      <c r="AJ47" s="61">
        <f t="shared" si="31"/>
        <v>4288710.8796927268</v>
      </c>
      <c r="AK47" s="61">
        <f t="shared" si="31"/>
        <v>4395928.651685046</v>
      </c>
    </row>
    <row r="48" spans="1:37">
      <c r="B48" s="79" t="s">
        <v>518</v>
      </c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</row>
    <row r="49" spans="2:37">
      <c r="B49" s="58" t="s">
        <v>519</v>
      </c>
      <c r="G49" s="61"/>
      <c r="H49" s="61">
        <f t="shared" ref="H49:AK49" si="32">$G$20*$M$24*(1+$M$17)^G39</f>
        <v>449280</v>
      </c>
      <c r="I49" s="61">
        <f t="shared" si="32"/>
        <v>460511.99999999994</v>
      </c>
      <c r="J49" s="61">
        <f t="shared" si="32"/>
        <v>472024.8</v>
      </c>
      <c r="K49" s="61">
        <f t="shared" si="32"/>
        <v>483825.41999999993</v>
      </c>
      <c r="L49" s="61">
        <f t="shared" si="32"/>
        <v>495921.0554999999</v>
      </c>
      <c r="M49" s="61">
        <f t="shared" si="32"/>
        <v>508319.08188749984</v>
      </c>
      <c r="N49" s="61">
        <f t="shared" si="32"/>
        <v>521027.05893468729</v>
      </c>
      <c r="O49" s="61">
        <f t="shared" si="32"/>
        <v>534052.73540805455</v>
      </c>
      <c r="P49" s="61">
        <f t="shared" si="32"/>
        <v>547404.05379325582</v>
      </c>
      <c r="Q49" s="61">
        <f t="shared" si="32"/>
        <v>561089.15513808711</v>
      </c>
      <c r="R49" s="61">
        <f t="shared" si="32"/>
        <v>575116.38401653932</v>
      </c>
      <c r="S49" s="61">
        <f t="shared" si="32"/>
        <v>589494.29361695284</v>
      </c>
      <c r="T49" s="61">
        <f t="shared" si="32"/>
        <v>604231.65095737658</v>
      </c>
      <c r="U49" s="61">
        <f t="shared" si="32"/>
        <v>619337.44223131088</v>
      </c>
      <c r="V49" s="61">
        <f t="shared" si="32"/>
        <v>634820.8782870936</v>
      </c>
      <c r="W49" s="61">
        <f t="shared" si="32"/>
        <v>650691.40024427103</v>
      </c>
      <c r="X49" s="61">
        <f t="shared" si="32"/>
        <v>666958.68525037775</v>
      </c>
      <c r="Y49" s="61">
        <f t="shared" si="32"/>
        <v>683632.65238163713</v>
      </c>
      <c r="Z49" s="61">
        <f t="shared" si="32"/>
        <v>700723.46869117813</v>
      </c>
      <c r="AA49" s="61">
        <f t="shared" si="32"/>
        <v>718241.55540845753</v>
      </c>
      <c r="AB49" s="61">
        <f t="shared" si="32"/>
        <v>736197.59429366887</v>
      </c>
      <c r="AC49" s="61">
        <f t="shared" si="32"/>
        <v>754602.53415101056</v>
      </c>
      <c r="AD49" s="61">
        <f t="shared" si="32"/>
        <v>773467.59750478575</v>
      </c>
      <c r="AE49" s="61">
        <f t="shared" si="32"/>
        <v>792804.28744240548</v>
      </c>
      <c r="AF49" s="61">
        <f t="shared" si="32"/>
        <v>812624.39462846552</v>
      </c>
      <c r="AG49" s="61">
        <f t="shared" si="32"/>
        <v>832940.00449417706</v>
      </c>
      <c r="AH49" s="61">
        <f t="shared" si="32"/>
        <v>853763.50460653147</v>
      </c>
      <c r="AI49" s="61">
        <f t="shared" si="32"/>
        <v>875107.59222169465</v>
      </c>
      <c r="AJ49" s="61">
        <f t="shared" si="32"/>
        <v>896985.282027237</v>
      </c>
      <c r="AK49" s="61">
        <f t="shared" si="32"/>
        <v>919409.91407791805</v>
      </c>
    </row>
    <row r="50" spans="2:37">
      <c r="B50" s="76" t="s">
        <v>520</v>
      </c>
      <c r="C50" s="76"/>
      <c r="D50" s="76"/>
      <c r="E50" s="76"/>
      <c r="F50" s="76"/>
      <c r="G50" s="77"/>
      <c r="H50" s="77">
        <f t="shared" ref="H50:R50" si="33">SUM(H43:H49)</f>
        <v>2994900</v>
      </c>
      <c r="I50" s="77">
        <f t="shared" si="33"/>
        <v>7109154</v>
      </c>
      <c r="J50" s="77">
        <f t="shared" si="33"/>
        <v>7286882.8499999987</v>
      </c>
      <c r="K50" s="77">
        <f t="shared" si="33"/>
        <v>7469054.9212499987</v>
      </c>
      <c r="L50" s="77">
        <f t="shared" si="33"/>
        <v>7655781.2942812489</v>
      </c>
      <c r="M50" s="77">
        <f t="shared" si="33"/>
        <v>7847175.8266382786</v>
      </c>
      <c r="N50" s="77">
        <f t="shared" si="33"/>
        <v>8043355.2223042352</v>
      </c>
      <c r="O50" s="77">
        <f t="shared" si="33"/>
        <v>8244439.1028618412</v>
      </c>
      <c r="P50" s="77">
        <f t="shared" si="33"/>
        <v>8450550.0804333854</v>
      </c>
      <c r="Q50" s="77">
        <f t="shared" si="33"/>
        <v>8661813.8324442189</v>
      </c>
      <c r="R50" s="77">
        <f t="shared" si="33"/>
        <v>8878359.178255327</v>
      </c>
      <c r="S50" s="77">
        <f t="shared" ref="S50" si="34">SUM(S43:S49)</f>
        <v>9100318.1577117089</v>
      </c>
      <c r="T50" s="77">
        <f t="shared" ref="T50" si="35">SUM(T43:T49)</f>
        <v>9327826.1116544995</v>
      </c>
      <c r="U50" s="77">
        <f t="shared" ref="U50" si="36">SUM(U43:U49)</f>
        <v>9561021.7644458618</v>
      </c>
      <c r="V50" s="77">
        <f t="shared" ref="V50" si="37">SUM(V43:V49)</f>
        <v>9800047.3085570075</v>
      </c>
      <c r="W50" s="77">
        <f t="shared" ref="W50" si="38">SUM(W43:W49)</f>
        <v>10045048.491270935</v>
      </c>
      <c r="X50" s="77">
        <f t="shared" ref="X50" si="39">SUM(X43:X49)</f>
        <v>10296174.703552706</v>
      </c>
      <c r="Y50" s="77">
        <f t="shared" ref="Y50" si="40">SUM(Y43:Y49)</f>
        <v>10553579.071141522</v>
      </c>
      <c r="Z50" s="77">
        <f t="shared" ref="Z50" si="41">SUM(Z43:Z49)</f>
        <v>10817418.547920061</v>
      </c>
      <c r="AA50" s="77">
        <f t="shared" ref="AA50" si="42">SUM(AA43:AA49)</f>
        <v>11087854.011618065</v>
      </c>
      <c r="AB50" s="77">
        <f t="shared" ref="AB50" si="43">SUM(AB43:AB49)</f>
        <v>11365050.361908512</v>
      </c>
      <c r="AC50" s="77">
        <f t="shared" ref="AC50" si="44">SUM(AC43:AC49)</f>
        <v>11649176.620956223</v>
      </c>
      <c r="AD50" s="77">
        <f t="shared" ref="AD50" si="45">SUM(AD43:AD49)</f>
        <v>11940406.036480131</v>
      </c>
      <c r="AE50" s="77">
        <f t="shared" ref="AE50" si="46">SUM(AE43:AE49)</f>
        <v>12238916.187392134</v>
      </c>
      <c r="AF50" s="77">
        <f t="shared" ref="AF50" si="47">SUM(AF43:AF49)</f>
        <v>12544889.092076937</v>
      </c>
      <c r="AG50" s="77">
        <f t="shared" ref="AG50" si="48">SUM(AG43:AG49)</f>
        <v>12858511.319378858</v>
      </c>
      <c r="AH50" s="77">
        <f t="shared" ref="AH50" si="49">SUM(AH43:AH49)</f>
        <v>13179974.102363329</v>
      </c>
      <c r="AI50" s="77">
        <f t="shared" ref="AI50" si="50">SUM(AI43:AI49)</f>
        <v>13509473.45492241</v>
      </c>
      <c r="AJ50" s="77">
        <f t="shared" ref="AJ50" si="51">SUM(AJ43:AJ49)</f>
        <v>13847210.291295473</v>
      </c>
      <c r="AK50" s="77">
        <f t="shared" ref="AK50" si="52">SUM(AK43:AK49)</f>
        <v>14193390.54857786</v>
      </c>
    </row>
    <row r="51" spans="2:37"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</row>
    <row r="52" spans="2:37">
      <c r="B52" s="70" t="s">
        <v>521</v>
      </c>
      <c r="C52" s="70"/>
      <c r="D52" s="70"/>
      <c r="E52" s="70"/>
      <c r="F52" s="70"/>
      <c r="G52" s="70"/>
      <c r="H52" s="72">
        <f t="shared" ref="H52:R52" si="53">-(1-H40)*SUM(H45:H47)</f>
        <v>-127281.00000000012</v>
      </c>
      <c r="I52" s="72">
        <f t="shared" si="53"/>
        <v>-332432.10000000027</v>
      </c>
      <c r="J52" s="72">
        <f t="shared" si="53"/>
        <v>-340742.90250000026</v>
      </c>
      <c r="K52" s="72">
        <f t="shared" si="53"/>
        <v>-349261.47506250028</v>
      </c>
      <c r="L52" s="72">
        <f t="shared" si="53"/>
        <v>-357993.0119390628</v>
      </c>
      <c r="M52" s="72">
        <f t="shared" si="53"/>
        <v>-366942.83723753929</v>
      </c>
      <c r="N52" s="72">
        <f t="shared" si="53"/>
        <v>-376116.4081684777</v>
      </c>
      <c r="O52" s="72">
        <f t="shared" si="53"/>
        <v>-385519.31837268965</v>
      </c>
      <c r="P52" s="72">
        <f t="shared" si="53"/>
        <v>-395157.30133200687</v>
      </c>
      <c r="Q52" s="72">
        <f t="shared" si="53"/>
        <v>-405036.233865307</v>
      </c>
      <c r="R52" s="72">
        <f t="shared" si="53"/>
        <v>-415162.13971193973</v>
      </c>
      <c r="S52" s="72">
        <f t="shared" ref="S52:AK52" si="54">-(1-S40)*SUM(S45:S47)</f>
        <v>-425541.1932047382</v>
      </c>
      <c r="T52" s="72">
        <f t="shared" si="54"/>
        <v>-436179.72303485655</v>
      </c>
      <c r="U52" s="72">
        <f t="shared" si="54"/>
        <v>-447084.21611072798</v>
      </c>
      <c r="V52" s="72">
        <f t="shared" si="54"/>
        <v>-458261.32151349611</v>
      </c>
      <c r="W52" s="72">
        <f t="shared" si="54"/>
        <v>-469717.85455133358</v>
      </c>
      <c r="X52" s="72">
        <f t="shared" si="54"/>
        <v>-481460.80091511685</v>
      </c>
      <c r="Y52" s="72">
        <f t="shared" si="54"/>
        <v>-493497.32093799475</v>
      </c>
      <c r="Z52" s="72">
        <f t="shared" si="54"/>
        <v>-505834.75396144466</v>
      </c>
      <c r="AA52" s="72">
        <f t="shared" si="54"/>
        <v>-518480.62281048083</v>
      </c>
      <c r="AB52" s="72">
        <f t="shared" si="54"/>
        <v>-531442.63838074263</v>
      </c>
      <c r="AC52" s="72">
        <f t="shared" si="54"/>
        <v>-544728.70434026117</v>
      </c>
      <c r="AD52" s="72">
        <f t="shared" si="54"/>
        <v>-558346.92194876773</v>
      </c>
      <c r="AE52" s="72">
        <f t="shared" si="54"/>
        <v>-572305.59499748703</v>
      </c>
      <c r="AF52" s="72">
        <f t="shared" si="54"/>
        <v>-586613.23487242404</v>
      </c>
      <c r="AG52" s="72">
        <f t="shared" si="54"/>
        <v>-601278.5657442346</v>
      </c>
      <c r="AH52" s="72">
        <f t="shared" si="54"/>
        <v>-616310.52988784038</v>
      </c>
      <c r="AI52" s="72">
        <f t="shared" si="54"/>
        <v>-631718.29313503637</v>
      </c>
      <c r="AJ52" s="72">
        <f t="shared" si="54"/>
        <v>-647511.25046341238</v>
      </c>
      <c r="AK52" s="72">
        <f t="shared" si="54"/>
        <v>-663699.03172499768</v>
      </c>
    </row>
    <row r="53" spans="2:37">
      <c r="B53" s="58" t="s">
        <v>522</v>
      </c>
      <c r="H53" s="61">
        <f>SUM(H50:H52)</f>
        <v>2867619</v>
      </c>
      <c r="I53" s="61">
        <f t="shared" ref="I53:R53" si="55">SUM(I50:I52)</f>
        <v>6776721.8999999994</v>
      </c>
      <c r="J53" s="61">
        <f t="shared" si="55"/>
        <v>6946139.9474999988</v>
      </c>
      <c r="K53" s="61">
        <f t="shared" si="55"/>
        <v>7119793.446187498</v>
      </c>
      <c r="L53" s="61">
        <f t="shared" si="55"/>
        <v>7297788.2823421862</v>
      </c>
      <c r="M53" s="61">
        <f t="shared" si="55"/>
        <v>7480232.9894007389</v>
      </c>
      <c r="N53" s="61">
        <f t="shared" si="55"/>
        <v>7667238.8141357573</v>
      </c>
      <c r="O53" s="61">
        <f t="shared" si="55"/>
        <v>7858919.7844891511</v>
      </c>
      <c r="P53" s="61">
        <f t="shared" si="55"/>
        <v>8055392.7791013783</v>
      </c>
      <c r="Q53" s="61">
        <f t="shared" si="55"/>
        <v>8256777.5985789122</v>
      </c>
      <c r="R53" s="61">
        <f t="shared" si="55"/>
        <v>8463197.0385433882</v>
      </c>
      <c r="S53" s="61">
        <f t="shared" ref="S53:AK53" si="56">SUM(S50:S52)</f>
        <v>8674776.9645069707</v>
      </c>
      <c r="T53" s="61">
        <f t="shared" si="56"/>
        <v>8891646.3886196427</v>
      </c>
      <c r="U53" s="61">
        <f t="shared" si="56"/>
        <v>9113937.5483351331</v>
      </c>
      <c r="V53" s="61">
        <f t="shared" si="56"/>
        <v>9341785.9870435111</v>
      </c>
      <c r="W53" s="61">
        <f t="shared" si="56"/>
        <v>9575330.6367196012</v>
      </c>
      <c r="X53" s="61">
        <f t="shared" si="56"/>
        <v>9814713.9026375897</v>
      </c>
      <c r="Y53" s="61">
        <f t="shared" si="56"/>
        <v>10060081.750203528</v>
      </c>
      <c r="Z53" s="61">
        <f t="shared" si="56"/>
        <v>10311583.793958617</v>
      </c>
      <c r="AA53" s="61">
        <f t="shared" si="56"/>
        <v>10569373.388807584</v>
      </c>
      <c r="AB53" s="61">
        <f t="shared" si="56"/>
        <v>10833607.72352777</v>
      </c>
      <c r="AC53" s="61">
        <f t="shared" si="56"/>
        <v>11104447.916615963</v>
      </c>
      <c r="AD53" s="61">
        <f t="shared" si="56"/>
        <v>11382059.114531362</v>
      </c>
      <c r="AE53" s="61">
        <f t="shared" si="56"/>
        <v>11666610.592394646</v>
      </c>
      <c r="AF53" s="61">
        <f t="shared" si="56"/>
        <v>11958275.857204512</v>
      </c>
      <c r="AG53" s="61">
        <f t="shared" si="56"/>
        <v>12257232.753634624</v>
      </c>
      <c r="AH53" s="61">
        <f t="shared" si="56"/>
        <v>12563663.572475489</v>
      </c>
      <c r="AI53" s="61">
        <f t="shared" si="56"/>
        <v>12877755.161787374</v>
      </c>
      <c r="AJ53" s="61">
        <f t="shared" si="56"/>
        <v>13199699.040832059</v>
      </c>
      <c r="AK53" s="61">
        <f t="shared" si="56"/>
        <v>13529691.516852863</v>
      </c>
    </row>
    <row r="55" spans="2:37">
      <c r="B55" s="58" t="s">
        <v>413</v>
      </c>
      <c r="H55" s="61">
        <f>-($M$20*H53)*(1+$M$21)^G39</f>
        <v>-860285.7</v>
      </c>
      <c r="I55" s="61">
        <f t="shared" ref="I55:R55" si="57">-($M$20*I53)*(1+$M$21)^H39</f>
        <v>-2073676.9013999999</v>
      </c>
      <c r="J55" s="61">
        <f t="shared" si="57"/>
        <v>-2168029.2004136993</v>
      </c>
      <c r="K55" s="61">
        <f t="shared" si="57"/>
        <v>-2266674.5290325223</v>
      </c>
      <c r="L55" s="61">
        <f t="shared" si="57"/>
        <v>-2369808.2201035023</v>
      </c>
      <c r="M55" s="61">
        <f t="shared" si="57"/>
        <v>-2477634.4941182113</v>
      </c>
      <c r="N55" s="61">
        <f t="shared" si="57"/>
        <v>-2590366.8636005903</v>
      </c>
      <c r="O55" s="61">
        <f t="shared" si="57"/>
        <v>-2708228.5558944168</v>
      </c>
      <c r="P55" s="61">
        <f t="shared" si="57"/>
        <v>-2831452.9551876122</v>
      </c>
      <c r="Q55" s="61">
        <f t="shared" si="57"/>
        <v>-2960284.0646486478</v>
      </c>
      <c r="R55" s="61">
        <f t="shared" si="57"/>
        <v>-3094976.9895901629</v>
      </c>
      <c r="S55" s="61">
        <f t="shared" ref="S55" si="58">-($M$20*S53)*(1+$M$21)^R39</f>
        <v>-3235798.4426165144</v>
      </c>
      <c r="T55" s="61">
        <f t="shared" ref="T55" si="59">-($M$20*T53)*(1+$M$21)^S39</f>
        <v>-3383027.2717555654</v>
      </c>
      <c r="U55" s="61">
        <f t="shared" ref="U55" si="60">-($M$20*U53)*(1+$M$21)^T39</f>
        <v>-3536955.0126204425</v>
      </c>
      <c r="V55" s="61">
        <f t="shared" ref="V55" si="61">-($M$20*V53)*(1+$M$21)^U39</f>
        <v>-3697886.4656946734</v>
      </c>
      <c r="W55" s="61">
        <f t="shared" ref="W55" si="62">-($M$20*W53)*(1+$M$21)^V39</f>
        <v>-3866140.2998837805</v>
      </c>
      <c r="X55" s="61">
        <f t="shared" ref="X55" si="63">-($M$20*X53)*(1+$M$21)^W39</f>
        <v>-4042049.6835284927</v>
      </c>
      <c r="Y55" s="61">
        <f t="shared" ref="Y55" si="64">-($M$20*Y53)*(1+$M$21)^X39</f>
        <v>-4225962.9441290386</v>
      </c>
      <c r="Z55" s="61">
        <f t="shared" ref="Z55" si="65">-($M$20*Z53)*(1+$M$21)^Y39</f>
        <v>-4418244.2580869095</v>
      </c>
      <c r="AA55" s="61">
        <f t="shared" ref="AA55" si="66">-($M$20*AA53)*(1+$M$21)^Z39</f>
        <v>-4619274.3718298646</v>
      </c>
      <c r="AB55" s="61">
        <f t="shared" ref="AB55" si="67">-($M$20*AB53)*(1+$M$21)^AA39</f>
        <v>-4829451.3557481226</v>
      </c>
      <c r="AC55" s="61">
        <f t="shared" ref="AC55" si="68">-($M$20*AC53)*(1+$M$21)^AB39</f>
        <v>-5049191.3924346613</v>
      </c>
      <c r="AD55" s="61">
        <f t="shared" ref="AD55" si="69">-($M$20*AD53)*(1+$M$21)^AC39</f>
        <v>-5278929.6007904392</v>
      </c>
      <c r="AE55" s="61">
        <f t="shared" ref="AE55" si="70">-($M$20*AE53)*(1+$M$21)^AD39</f>
        <v>-5519120.8976264028</v>
      </c>
      <c r="AF55" s="61">
        <f t="shared" ref="AF55" si="71">-($M$20*AF53)*(1+$M$21)^AE39</f>
        <v>-5770240.8984684041</v>
      </c>
      <c r="AG55" s="61">
        <f t="shared" ref="AG55" si="72">-($M$20*AG53)*(1+$M$21)^AF39</f>
        <v>-6032786.8593487162</v>
      </c>
      <c r="AH55" s="61">
        <f t="shared" ref="AH55" si="73">-($M$20*AH53)*(1+$M$21)^AG39</f>
        <v>-6307278.6614490831</v>
      </c>
      <c r="AI55" s="61">
        <f t="shared" ref="AI55" si="74">-($M$20*AI53)*(1+$M$21)^AH39</f>
        <v>-6594259.8405450145</v>
      </c>
      <c r="AJ55" s="61">
        <f t="shared" ref="AJ55" si="75">-($M$20*AJ53)*(1+$M$21)^AI39</f>
        <v>-6894298.6632898143</v>
      </c>
      <c r="AK55" s="61">
        <f t="shared" ref="AK55" si="76">-($M$20*AK53)*(1+$M$21)^AJ39</f>
        <v>-7207989.2524695015</v>
      </c>
    </row>
    <row r="56" spans="2:37">
      <c r="B56" s="58" t="s">
        <v>728</v>
      </c>
      <c r="H56" s="61">
        <f>-(H50*$M$22)*(1+$M$21)^G39</f>
        <v>-119796</v>
      </c>
      <c r="I56" s="61">
        <f t="shared" ref="I56:AK56" si="77">-(I50*$M$22)*(1+$M$21)^H39</f>
        <v>-290053.48320000002</v>
      </c>
      <c r="J56" s="61">
        <f t="shared" si="77"/>
        <v>-303250.91668559995</v>
      </c>
      <c r="K56" s="61">
        <f t="shared" si="77"/>
        <v>-317048.83339479472</v>
      </c>
      <c r="L56" s="61">
        <f t="shared" si="77"/>
        <v>-331474.55531425792</v>
      </c>
      <c r="M56" s="61">
        <f t="shared" si="77"/>
        <v>-346556.64758105663</v>
      </c>
      <c r="N56" s="61">
        <f t="shared" si="77"/>
        <v>-362324.97504599468</v>
      </c>
      <c r="O56" s="61">
        <f t="shared" si="77"/>
        <v>-378810.76141058735</v>
      </c>
      <c r="P56" s="61">
        <f t="shared" si="77"/>
        <v>-396046.65105476906</v>
      </c>
      <c r="Q56" s="61">
        <f t="shared" si="77"/>
        <v>-414066.77367776097</v>
      </c>
      <c r="R56" s="61">
        <f t="shared" si="77"/>
        <v>-432906.81188009924</v>
      </c>
      <c r="S56" s="61">
        <f t="shared" si="77"/>
        <v>-452604.07182064361</v>
      </c>
      <c r="T56" s="61">
        <f t="shared" si="77"/>
        <v>-473197.55708848283</v>
      </c>
      <c r="U56" s="61">
        <f t="shared" si="77"/>
        <v>-494728.0459360088</v>
      </c>
      <c r="V56" s="61">
        <f t="shared" si="77"/>
        <v>-517238.17202609719</v>
      </c>
      <c r="W56" s="61">
        <f t="shared" si="77"/>
        <v>-540772.50885328453</v>
      </c>
      <c r="X56" s="61">
        <f t="shared" si="77"/>
        <v>-565377.65800610906</v>
      </c>
      <c r="Y56" s="61">
        <f t="shared" si="77"/>
        <v>-591102.34144538699</v>
      </c>
      <c r="Z56" s="61">
        <f t="shared" si="77"/>
        <v>-617997.49798115203</v>
      </c>
      <c r="AA56" s="61">
        <f t="shared" si="77"/>
        <v>-646116.3841392945</v>
      </c>
      <c r="AB56" s="61">
        <f t="shared" si="77"/>
        <v>-675514.6796176323</v>
      </c>
      <c r="AC56" s="61">
        <f t="shared" si="77"/>
        <v>-706250.59754023433</v>
      </c>
      <c r="AD56" s="61">
        <f t="shared" si="77"/>
        <v>-738384.99972831516</v>
      </c>
      <c r="AE56" s="61">
        <f t="shared" si="77"/>
        <v>-771981.51721595344</v>
      </c>
      <c r="AF56" s="61">
        <f t="shared" si="77"/>
        <v>-807106.67624927929</v>
      </c>
      <c r="AG56" s="61">
        <f t="shared" si="77"/>
        <v>-843830.03001862136</v>
      </c>
      <c r="AH56" s="61">
        <f t="shared" si="77"/>
        <v>-882224.29638446879</v>
      </c>
      <c r="AI56" s="61">
        <f t="shared" si="77"/>
        <v>-922365.5018699615</v>
      </c>
      <c r="AJ56" s="61">
        <f t="shared" si="77"/>
        <v>-964333.13220504532</v>
      </c>
      <c r="AK56" s="61">
        <f t="shared" si="77"/>
        <v>-1008210.2897203747</v>
      </c>
    </row>
    <row r="57" spans="2:37">
      <c r="B57" s="58" t="s">
        <v>523</v>
      </c>
      <c r="H57" s="61">
        <f t="shared" ref="H57:AK57" si="78">-H53*$M$23</f>
        <v>-57352.380000000005</v>
      </c>
      <c r="I57" s="61">
        <f t="shared" si="78"/>
        <v>-135534.43799999999</v>
      </c>
      <c r="J57" s="61">
        <f t="shared" si="78"/>
        <v>-138922.79894999997</v>
      </c>
      <c r="K57" s="61">
        <f t="shared" si="78"/>
        <v>-142395.86892374998</v>
      </c>
      <c r="L57" s="61">
        <f t="shared" si="78"/>
        <v>-145955.76564684373</v>
      </c>
      <c r="M57" s="61">
        <f t="shared" si="78"/>
        <v>-149604.65978801477</v>
      </c>
      <c r="N57" s="61">
        <f t="shared" si="78"/>
        <v>-153344.77628271515</v>
      </c>
      <c r="O57" s="61">
        <f t="shared" si="78"/>
        <v>-157178.39568978304</v>
      </c>
      <c r="P57" s="61">
        <f t="shared" si="78"/>
        <v>-161107.85558202758</v>
      </c>
      <c r="Q57" s="61">
        <f t="shared" si="78"/>
        <v>-165135.55197157824</v>
      </c>
      <c r="R57" s="61">
        <f t="shared" si="78"/>
        <v>-169263.94077086778</v>
      </c>
      <c r="S57" s="61">
        <f t="shared" si="78"/>
        <v>-173495.53929013942</v>
      </c>
      <c r="T57" s="61">
        <f t="shared" si="78"/>
        <v>-177832.92777239287</v>
      </c>
      <c r="U57" s="61">
        <f t="shared" si="78"/>
        <v>-182278.75096670268</v>
      </c>
      <c r="V57" s="61">
        <f t="shared" si="78"/>
        <v>-186835.71974087023</v>
      </c>
      <c r="W57" s="61">
        <f t="shared" si="78"/>
        <v>-191506.61273439202</v>
      </c>
      <c r="X57" s="61">
        <f t="shared" si="78"/>
        <v>-196294.27805275179</v>
      </c>
      <c r="Y57" s="61">
        <f t="shared" si="78"/>
        <v>-201201.63500407056</v>
      </c>
      <c r="Z57" s="61">
        <f t="shared" si="78"/>
        <v>-206231.67587917234</v>
      </c>
      <c r="AA57" s="61">
        <f t="shared" si="78"/>
        <v>-211387.46777615167</v>
      </c>
      <c r="AB57" s="61">
        <f t="shared" si="78"/>
        <v>-216672.15447055543</v>
      </c>
      <c r="AC57" s="61">
        <f t="shared" si="78"/>
        <v>-222088.95833231928</v>
      </c>
      <c r="AD57" s="61">
        <f t="shared" si="78"/>
        <v>-227641.18229062724</v>
      </c>
      <c r="AE57" s="61">
        <f t="shared" si="78"/>
        <v>-233332.21184789293</v>
      </c>
      <c r="AF57" s="61">
        <f t="shared" si="78"/>
        <v>-239165.51714409023</v>
      </c>
      <c r="AG57" s="61">
        <f t="shared" si="78"/>
        <v>-245144.65507269249</v>
      </c>
      <c r="AH57" s="61">
        <f t="shared" si="78"/>
        <v>-251273.27144950978</v>
      </c>
      <c r="AI57" s="61">
        <f t="shared" si="78"/>
        <v>-257555.10323574749</v>
      </c>
      <c r="AJ57" s="61">
        <f t="shared" si="78"/>
        <v>-263993.98081664118</v>
      </c>
      <c r="AK57" s="61">
        <f t="shared" si="78"/>
        <v>-270593.83033705724</v>
      </c>
    </row>
    <row r="58" spans="2:37">
      <c r="B58" s="76" t="s">
        <v>524</v>
      </c>
      <c r="C58" s="76"/>
      <c r="D58" s="76"/>
      <c r="E58" s="76"/>
      <c r="F58" s="76"/>
      <c r="G58" s="76"/>
      <c r="H58" s="77">
        <f t="shared" ref="H58:R58" si="79">SUM(H53:H57)</f>
        <v>1830184.92</v>
      </c>
      <c r="I58" s="77">
        <f t="shared" si="79"/>
        <v>4277457.0773999998</v>
      </c>
      <c r="J58" s="77">
        <f t="shared" si="79"/>
        <v>4335937.0314507</v>
      </c>
      <c r="K58" s="77">
        <f t="shared" si="79"/>
        <v>4393674.2148364307</v>
      </c>
      <c r="L58" s="77">
        <f t="shared" si="79"/>
        <v>4450549.741277582</v>
      </c>
      <c r="M58" s="77">
        <f t="shared" si="79"/>
        <v>4506437.187913456</v>
      </c>
      <c r="N58" s="77">
        <f t="shared" si="79"/>
        <v>4561202.1992064565</v>
      </c>
      <c r="O58" s="77">
        <f t="shared" si="79"/>
        <v>4614702.0714943642</v>
      </c>
      <c r="P58" s="77">
        <f t="shared" si="79"/>
        <v>4666785.3172769696</v>
      </c>
      <c r="Q58" s="77">
        <f t="shared" si="79"/>
        <v>4717291.2082809256</v>
      </c>
      <c r="R58" s="77">
        <f t="shared" si="79"/>
        <v>4766049.296302258</v>
      </c>
      <c r="S58" s="77">
        <f t="shared" ref="S58" si="80">SUM(S53:S57)</f>
        <v>4812878.9107796727</v>
      </c>
      <c r="T58" s="77">
        <f t="shared" ref="T58" si="81">SUM(T53:T57)</f>
        <v>4857588.6320032021</v>
      </c>
      <c r="U58" s="77">
        <f t="shared" ref="U58" si="82">SUM(U53:U57)</f>
        <v>4899975.7388119791</v>
      </c>
      <c r="V58" s="77">
        <f t="shared" ref="V58" si="83">SUM(V53:V57)</f>
        <v>4939825.6295818705</v>
      </c>
      <c r="W58" s="77">
        <f t="shared" ref="W58" si="84">SUM(W53:W57)</f>
        <v>4976911.2152481433</v>
      </c>
      <c r="X58" s="77">
        <f t="shared" ref="X58" si="85">SUM(X53:X57)</f>
        <v>5010992.2830502363</v>
      </c>
      <c r="Y58" s="77">
        <f t="shared" ref="Y58" si="86">SUM(Y53:Y57)</f>
        <v>5041814.829625031</v>
      </c>
      <c r="Z58" s="77">
        <f t="shared" ref="Z58" si="87">SUM(Z53:Z57)</f>
        <v>5069110.3620113833</v>
      </c>
      <c r="AA58" s="77">
        <f t="shared" ref="AA58" si="88">SUM(AA53:AA57)</f>
        <v>5092595.1650622729</v>
      </c>
      <c r="AB58" s="77">
        <f t="shared" ref="AB58" si="89">SUM(AB53:AB57)</f>
        <v>5111969.5336914603</v>
      </c>
      <c r="AC58" s="77">
        <f t="shared" ref="AC58" si="90">SUM(AC53:AC57)</f>
        <v>5126916.9683087487</v>
      </c>
      <c r="AD58" s="77">
        <f t="shared" ref="AD58" si="91">SUM(AD53:AD57)</f>
        <v>5137103.3317219801</v>
      </c>
      <c r="AE58" s="77">
        <f t="shared" ref="AE58" si="92">SUM(AE53:AE57)</f>
        <v>5142175.9657043973</v>
      </c>
      <c r="AF58" s="77">
        <f t="shared" ref="AF58" si="93">SUM(AF53:AF57)</f>
        <v>5141762.7653427375</v>
      </c>
      <c r="AG58" s="77">
        <f t="shared" ref="AG58" si="94">SUM(AG53:AG57)</f>
        <v>5135471.2091945941</v>
      </c>
      <c r="AH58" s="77">
        <f t="shared" ref="AH58" si="95">SUM(AH53:AH57)</f>
        <v>5122887.3431924274</v>
      </c>
      <c r="AI58" s="77">
        <f t="shared" ref="AI58" si="96">SUM(AI53:AI57)</f>
        <v>5103574.7161366502</v>
      </c>
      <c r="AJ58" s="77">
        <f t="shared" ref="AJ58" si="97">SUM(AJ53:AJ57)</f>
        <v>5077073.2645205585</v>
      </c>
      <c r="AK58" s="77">
        <f t="shared" ref="AK58" si="98">SUM(AK53:AK57)</f>
        <v>5042898.1443259297</v>
      </c>
    </row>
    <row r="60" spans="2:37">
      <c r="B60" s="58" t="s">
        <v>525</v>
      </c>
      <c r="H60" s="61">
        <f t="shared" ref="H60:AK60" si="99">IF(H39=$M$26,I58/$M$28,0)</f>
        <v>0</v>
      </c>
      <c r="I60" s="61">
        <f t="shared" si="99"/>
        <v>0</v>
      </c>
      <c r="J60" s="61">
        <f t="shared" si="99"/>
        <v>0</v>
      </c>
      <c r="K60" s="61">
        <f t="shared" si="99"/>
        <v>0</v>
      </c>
      <c r="L60" s="61">
        <f t="shared" si="99"/>
        <v>0</v>
      </c>
      <c r="M60" s="61">
        <f t="shared" si="99"/>
        <v>0</v>
      </c>
      <c r="N60" s="61">
        <f t="shared" si="99"/>
        <v>0</v>
      </c>
      <c r="O60" s="61">
        <f t="shared" si="99"/>
        <v>0</v>
      </c>
      <c r="P60" s="61">
        <f t="shared" si="99"/>
        <v>0</v>
      </c>
      <c r="Q60" s="61">
        <f t="shared" si="99"/>
        <v>85108023.148254603</v>
      </c>
      <c r="R60" s="61">
        <f t="shared" si="99"/>
        <v>0</v>
      </c>
      <c r="S60" s="61">
        <f t="shared" si="99"/>
        <v>0</v>
      </c>
      <c r="T60" s="61">
        <f t="shared" si="99"/>
        <v>0</v>
      </c>
      <c r="U60" s="61">
        <f t="shared" si="99"/>
        <v>0</v>
      </c>
      <c r="V60" s="61">
        <f t="shared" si="99"/>
        <v>0</v>
      </c>
      <c r="W60" s="61">
        <f t="shared" si="99"/>
        <v>0</v>
      </c>
      <c r="X60" s="61">
        <f t="shared" si="99"/>
        <v>0</v>
      </c>
      <c r="Y60" s="61">
        <f t="shared" si="99"/>
        <v>0</v>
      </c>
      <c r="Z60" s="61">
        <f t="shared" si="99"/>
        <v>0</v>
      </c>
      <c r="AA60" s="61">
        <f t="shared" si="99"/>
        <v>0</v>
      </c>
      <c r="AB60" s="61">
        <f t="shared" si="99"/>
        <v>0</v>
      </c>
      <c r="AC60" s="61">
        <f t="shared" si="99"/>
        <v>0</v>
      </c>
      <c r="AD60" s="61">
        <f t="shared" si="99"/>
        <v>0</v>
      </c>
      <c r="AE60" s="61">
        <f t="shared" si="99"/>
        <v>0</v>
      </c>
      <c r="AF60" s="61">
        <f t="shared" si="99"/>
        <v>0</v>
      </c>
      <c r="AG60" s="61">
        <f t="shared" si="99"/>
        <v>0</v>
      </c>
      <c r="AH60" s="61">
        <f t="shared" si="99"/>
        <v>0</v>
      </c>
      <c r="AI60" s="61">
        <f t="shared" si="99"/>
        <v>0</v>
      </c>
      <c r="AJ60" s="61">
        <f t="shared" si="99"/>
        <v>0</v>
      </c>
      <c r="AK60" s="61">
        <f t="shared" si="99"/>
        <v>0</v>
      </c>
    </row>
    <row r="61" spans="2:37">
      <c r="B61" s="70" t="s">
        <v>393</v>
      </c>
      <c r="C61" s="70"/>
      <c r="D61" s="70"/>
      <c r="E61" s="70"/>
      <c r="F61" s="70"/>
      <c r="G61" s="70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</row>
    <row r="62" spans="2:37" s="100" customFormat="1">
      <c r="B62" s="100" t="s">
        <v>526</v>
      </c>
      <c r="G62" s="101">
        <f t="shared" ref="G62:AK62" ca="1" si="100">IF(G39&lt;=$M$26,SUM(G58,G60:G61,G42),0)</f>
        <v>-126314738.31568265</v>
      </c>
      <c r="H62" s="101">
        <f t="shared" si="100"/>
        <v>1830184.92</v>
      </c>
      <c r="I62" s="101">
        <f t="shared" si="100"/>
        <v>4277457.0773999998</v>
      </c>
      <c r="J62" s="101">
        <f t="shared" si="100"/>
        <v>4335937.0314507</v>
      </c>
      <c r="K62" s="101">
        <f t="shared" si="100"/>
        <v>4393674.2148364307</v>
      </c>
      <c r="L62" s="101">
        <f t="shared" si="100"/>
        <v>4450549.741277582</v>
      </c>
      <c r="M62" s="101">
        <f t="shared" si="100"/>
        <v>4506437.187913456</v>
      </c>
      <c r="N62" s="101">
        <f t="shared" si="100"/>
        <v>4561202.1992064565</v>
      </c>
      <c r="O62" s="101">
        <f t="shared" si="100"/>
        <v>4614702.0714943642</v>
      </c>
      <c r="P62" s="101">
        <f t="shared" si="100"/>
        <v>4666785.3172769696</v>
      </c>
      <c r="Q62" s="101">
        <f t="shared" si="100"/>
        <v>89825314.356535524</v>
      </c>
      <c r="R62" s="101">
        <f t="shared" si="100"/>
        <v>0</v>
      </c>
      <c r="S62" s="101">
        <f t="shared" si="100"/>
        <v>0</v>
      </c>
      <c r="T62" s="101">
        <f t="shared" si="100"/>
        <v>0</v>
      </c>
      <c r="U62" s="101">
        <f t="shared" si="100"/>
        <v>0</v>
      </c>
      <c r="V62" s="101">
        <f t="shared" si="100"/>
        <v>0</v>
      </c>
      <c r="W62" s="101">
        <f t="shared" si="100"/>
        <v>0</v>
      </c>
      <c r="X62" s="101">
        <f t="shared" si="100"/>
        <v>0</v>
      </c>
      <c r="Y62" s="101">
        <f t="shared" si="100"/>
        <v>0</v>
      </c>
      <c r="Z62" s="101">
        <f t="shared" si="100"/>
        <v>0</v>
      </c>
      <c r="AA62" s="101">
        <f t="shared" si="100"/>
        <v>0</v>
      </c>
      <c r="AB62" s="101">
        <f t="shared" si="100"/>
        <v>0</v>
      </c>
      <c r="AC62" s="101">
        <f t="shared" si="100"/>
        <v>0</v>
      </c>
      <c r="AD62" s="101">
        <f t="shared" si="100"/>
        <v>0</v>
      </c>
      <c r="AE62" s="101">
        <f t="shared" si="100"/>
        <v>0</v>
      </c>
      <c r="AF62" s="101">
        <f t="shared" si="100"/>
        <v>0</v>
      </c>
      <c r="AG62" s="101">
        <f t="shared" si="100"/>
        <v>0</v>
      </c>
      <c r="AH62" s="101">
        <f t="shared" si="100"/>
        <v>0</v>
      </c>
      <c r="AI62" s="101">
        <f t="shared" si="100"/>
        <v>0</v>
      </c>
      <c r="AJ62" s="101">
        <f t="shared" si="100"/>
        <v>0</v>
      </c>
      <c r="AK62" s="101">
        <f t="shared" si="100"/>
        <v>0</v>
      </c>
    </row>
    <row r="63" spans="2:37" ht="16.2" thickBot="1"/>
    <row r="64" spans="2:37">
      <c r="B64" s="81" t="s">
        <v>527</v>
      </c>
      <c r="C64" s="82"/>
      <c r="D64" s="82"/>
      <c r="E64" s="82"/>
      <c r="F64" s="83">
        <f ca="1">SUM(G62:R62)</f>
        <v>1147505.8017088473</v>
      </c>
    </row>
    <row r="65" spans="2:37">
      <c r="B65" s="84" t="s">
        <v>528</v>
      </c>
      <c r="F65" s="85">
        <f>NPV(M27,H62:R62)</f>
        <v>66997776.030477673</v>
      </c>
    </row>
    <row r="66" spans="2:37">
      <c r="B66" s="84" t="s">
        <v>529</v>
      </c>
      <c r="F66" s="85">
        <f ca="1">F65+G62</f>
        <v>-59316962.285204977</v>
      </c>
      <c r="G66" s="65"/>
    </row>
    <row r="67" spans="2:37">
      <c r="B67" s="84" t="s">
        <v>530</v>
      </c>
      <c r="F67" s="86">
        <f ca="1">IRR(G62:R62)</f>
        <v>1.0494728240941775E-3</v>
      </c>
    </row>
    <row r="68" spans="2:37" ht="16.2" thickBot="1">
      <c r="B68" s="87" t="s">
        <v>531</v>
      </c>
      <c r="C68" s="88"/>
      <c r="D68" s="88"/>
      <c r="E68" s="88"/>
      <c r="F68" s="89">
        <f ca="1">(F64/-G62)+1</f>
        <v>1.0090844965283547</v>
      </c>
    </row>
    <row r="70" spans="2:37">
      <c r="B70" s="58" t="s">
        <v>532</v>
      </c>
      <c r="G70" s="61">
        <f ca="1">R24</f>
        <v>88420316.820977852</v>
      </c>
    </row>
    <row r="71" spans="2:37">
      <c r="B71" s="58" t="s">
        <v>533</v>
      </c>
      <c r="H71" s="65">
        <f t="shared" ref="H71:AK71" si="101">IF(H39=$M$26,FV($R$13/12,H39*12,$R$15,$R$12,0),0)</f>
        <v>0</v>
      </c>
      <c r="I71" s="65">
        <f t="shared" si="101"/>
        <v>0</v>
      </c>
      <c r="J71" s="65">
        <f t="shared" si="101"/>
        <v>0</v>
      </c>
      <c r="K71" s="65">
        <f t="shared" si="101"/>
        <v>0</v>
      </c>
      <c r="L71" s="65">
        <f t="shared" si="101"/>
        <v>0</v>
      </c>
      <c r="M71" s="65">
        <f t="shared" si="101"/>
        <v>0</v>
      </c>
      <c r="N71" s="65">
        <f t="shared" si="101"/>
        <v>0</v>
      </c>
      <c r="O71" s="61">
        <f t="shared" si="101"/>
        <v>0</v>
      </c>
      <c r="P71" s="65">
        <f t="shared" si="101"/>
        <v>0</v>
      </c>
      <c r="Q71" s="61">
        <f t="shared" ca="1" si="101"/>
        <v>-56248680.624439672</v>
      </c>
      <c r="R71" s="65">
        <f t="shared" si="101"/>
        <v>0</v>
      </c>
      <c r="S71" s="65">
        <f t="shared" si="101"/>
        <v>0</v>
      </c>
      <c r="T71" s="65">
        <f t="shared" si="101"/>
        <v>0</v>
      </c>
      <c r="U71" s="65">
        <f t="shared" si="101"/>
        <v>0</v>
      </c>
      <c r="V71" s="65">
        <f t="shared" si="101"/>
        <v>0</v>
      </c>
      <c r="W71" s="65">
        <f t="shared" si="101"/>
        <v>0</v>
      </c>
      <c r="X71" s="65">
        <f t="shared" si="101"/>
        <v>0</v>
      </c>
      <c r="Y71" s="65">
        <f t="shared" si="101"/>
        <v>0</v>
      </c>
      <c r="Z71" s="65">
        <f t="shared" si="101"/>
        <v>0</v>
      </c>
      <c r="AA71" s="65">
        <f t="shared" si="101"/>
        <v>0</v>
      </c>
      <c r="AB71" s="65">
        <f t="shared" si="101"/>
        <v>0</v>
      </c>
      <c r="AC71" s="65">
        <f t="shared" si="101"/>
        <v>0</v>
      </c>
      <c r="AD71" s="65">
        <f t="shared" si="101"/>
        <v>0</v>
      </c>
      <c r="AE71" s="65">
        <f t="shared" si="101"/>
        <v>0</v>
      </c>
      <c r="AF71" s="65">
        <f t="shared" si="101"/>
        <v>0</v>
      </c>
      <c r="AG71" s="65">
        <f t="shared" si="101"/>
        <v>0</v>
      </c>
      <c r="AH71" s="65">
        <f t="shared" si="101"/>
        <v>0</v>
      </c>
      <c r="AI71" s="65">
        <f t="shared" si="101"/>
        <v>0</v>
      </c>
      <c r="AJ71" s="65">
        <f t="shared" si="101"/>
        <v>0</v>
      </c>
      <c r="AK71" s="65">
        <f t="shared" si="101"/>
        <v>0</v>
      </c>
    </row>
    <row r="72" spans="2:37">
      <c r="B72" s="58" t="s">
        <v>534</v>
      </c>
      <c r="H72" s="61">
        <f t="shared" ref="H72:AK72" ca="1" si="102">IF(H39&lt;=$M$26,$R$15*12,0)</f>
        <v>-7358842.9245133409</v>
      </c>
      <c r="I72" s="61">
        <f t="shared" ca="1" si="102"/>
        <v>-7358842.9245133409</v>
      </c>
      <c r="J72" s="61">
        <f t="shared" ca="1" si="102"/>
        <v>-7358842.9245133409</v>
      </c>
      <c r="K72" s="61">
        <f t="shared" ca="1" si="102"/>
        <v>-7358842.9245133409</v>
      </c>
      <c r="L72" s="61">
        <f t="shared" ca="1" si="102"/>
        <v>-7358842.9245133409</v>
      </c>
      <c r="M72" s="61">
        <f t="shared" ca="1" si="102"/>
        <v>-7358842.9245133409</v>
      </c>
      <c r="N72" s="61">
        <f t="shared" ca="1" si="102"/>
        <v>-7358842.9245133409</v>
      </c>
      <c r="O72" s="61">
        <f t="shared" ca="1" si="102"/>
        <v>-7358842.9245133409</v>
      </c>
      <c r="P72" s="61">
        <f t="shared" ca="1" si="102"/>
        <v>-7358842.9245133409</v>
      </c>
      <c r="Q72" s="61">
        <f t="shared" ca="1" si="102"/>
        <v>-7358842.9245133409</v>
      </c>
      <c r="R72" s="61">
        <f t="shared" si="102"/>
        <v>0</v>
      </c>
      <c r="S72" s="61">
        <f t="shared" si="102"/>
        <v>0</v>
      </c>
      <c r="T72" s="61">
        <f t="shared" si="102"/>
        <v>0</v>
      </c>
      <c r="U72" s="61">
        <f t="shared" si="102"/>
        <v>0</v>
      </c>
      <c r="V72" s="61">
        <f t="shared" si="102"/>
        <v>0</v>
      </c>
      <c r="W72" s="61">
        <f t="shared" si="102"/>
        <v>0</v>
      </c>
      <c r="X72" s="61">
        <f t="shared" si="102"/>
        <v>0</v>
      </c>
      <c r="Y72" s="61">
        <f t="shared" si="102"/>
        <v>0</v>
      </c>
      <c r="Z72" s="61">
        <f t="shared" si="102"/>
        <v>0</v>
      </c>
      <c r="AA72" s="61">
        <f t="shared" si="102"/>
        <v>0</v>
      </c>
      <c r="AB72" s="61">
        <f t="shared" si="102"/>
        <v>0</v>
      </c>
      <c r="AC72" s="61">
        <f t="shared" si="102"/>
        <v>0</v>
      </c>
      <c r="AD72" s="61">
        <f t="shared" si="102"/>
        <v>0</v>
      </c>
      <c r="AE72" s="61">
        <f t="shared" si="102"/>
        <v>0</v>
      </c>
      <c r="AF72" s="61">
        <f t="shared" si="102"/>
        <v>0</v>
      </c>
      <c r="AG72" s="61">
        <f t="shared" si="102"/>
        <v>0</v>
      </c>
      <c r="AH72" s="61">
        <f t="shared" si="102"/>
        <v>0</v>
      </c>
      <c r="AI72" s="61">
        <f t="shared" si="102"/>
        <v>0</v>
      </c>
      <c r="AJ72" s="61">
        <f t="shared" si="102"/>
        <v>0</v>
      </c>
      <c r="AK72" s="61">
        <f t="shared" si="102"/>
        <v>0</v>
      </c>
    </row>
    <row r="74" spans="2:37" s="100" customFormat="1">
      <c r="B74" s="100" t="s">
        <v>535</v>
      </c>
      <c r="G74" s="101">
        <f ca="1">SUM(G62,G70:G72)</f>
        <v>-37894421.494704798</v>
      </c>
      <c r="H74" s="101">
        <f t="shared" ref="H74:R74" ca="1" si="103">SUM(H62,H70:H72)</f>
        <v>-5528658.004513341</v>
      </c>
      <c r="I74" s="101">
        <f t="shared" ca="1" si="103"/>
        <v>-3081385.8471133411</v>
      </c>
      <c r="J74" s="101">
        <f t="shared" ca="1" si="103"/>
        <v>-3022905.8930626409</v>
      </c>
      <c r="K74" s="101">
        <f t="shared" ca="1" si="103"/>
        <v>-2965168.7096769102</v>
      </c>
      <c r="L74" s="101">
        <f t="shared" ca="1" si="103"/>
        <v>-2908293.1832357589</v>
      </c>
      <c r="M74" s="101">
        <f t="shared" ca="1" si="103"/>
        <v>-2852405.7365998849</v>
      </c>
      <c r="N74" s="101">
        <f t="shared" ca="1" si="103"/>
        <v>-2797640.7253068844</v>
      </c>
      <c r="O74" s="101">
        <f t="shared" ca="1" si="103"/>
        <v>-2744140.8530189767</v>
      </c>
      <c r="P74" s="101">
        <f t="shared" ca="1" si="103"/>
        <v>-2692057.6072363714</v>
      </c>
      <c r="Q74" s="101">
        <f t="shared" ca="1" si="103"/>
        <v>26217790.807582512</v>
      </c>
      <c r="R74" s="101">
        <f t="shared" si="103"/>
        <v>0</v>
      </c>
      <c r="S74" s="101">
        <f t="shared" ref="S74:AK74" si="104">SUM(S62,S70:S72)</f>
        <v>0</v>
      </c>
      <c r="T74" s="101">
        <f t="shared" si="104"/>
        <v>0</v>
      </c>
      <c r="U74" s="101">
        <f t="shared" si="104"/>
        <v>0</v>
      </c>
      <c r="V74" s="101">
        <f t="shared" si="104"/>
        <v>0</v>
      </c>
      <c r="W74" s="101">
        <f t="shared" si="104"/>
        <v>0</v>
      </c>
      <c r="X74" s="101">
        <f t="shared" si="104"/>
        <v>0</v>
      </c>
      <c r="Y74" s="101">
        <f t="shared" si="104"/>
        <v>0</v>
      </c>
      <c r="Z74" s="101">
        <f t="shared" si="104"/>
        <v>0</v>
      </c>
      <c r="AA74" s="101">
        <f t="shared" si="104"/>
        <v>0</v>
      </c>
      <c r="AB74" s="101">
        <f t="shared" si="104"/>
        <v>0</v>
      </c>
      <c r="AC74" s="101">
        <f t="shared" si="104"/>
        <v>0</v>
      </c>
      <c r="AD74" s="101">
        <f t="shared" si="104"/>
        <v>0</v>
      </c>
      <c r="AE74" s="101">
        <f t="shared" si="104"/>
        <v>0</v>
      </c>
      <c r="AF74" s="101">
        <f t="shared" si="104"/>
        <v>0</v>
      </c>
      <c r="AG74" s="101">
        <f t="shared" si="104"/>
        <v>0</v>
      </c>
      <c r="AH74" s="101">
        <f t="shared" si="104"/>
        <v>0</v>
      </c>
      <c r="AI74" s="101">
        <f t="shared" si="104"/>
        <v>0</v>
      </c>
      <c r="AJ74" s="101">
        <f t="shared" si="104"/>
        <v>0</v>
      </c>
      <c r="AK74" s="101">
        <f t="shared" si="104"/>
        <v>0</v>
      </c>
    </row>
    <row r="75" spans="2:37" ht="16.2" thickBot="1"/>
    <row r="76" spans="2:37">
      <c r="B76" s="81" t="str">
        <f>B64</f>
        <v>Profit</v>
      </c>
      <c r="C76" s="82"/>
      <c r="D76" s="82"/>
      <c r="E76" s="82"/>
      <c r="F76" s="83">
        <f ca="1">SUM(G74:R74)</f>
        <v>-40269287.246886395</v>
      </c>
    </row>
    <row r="77" spans="2:37">
      <c r="B77" s="84" t="str">
        <f t="shared" ref="B77:B80" si="105">B65</f>
        <v>PV</v>
      </c>
      <c r="F77" s="85">
        <f ca="1">NPV($M$27,H74:R74)</f>
        <v>-8434681.5736267492</v>
      </c>
    </row>
    <row r="78" spans="2:37">
      <c r="B78" s="84" t="str">
        <f t="shared" si="105"/>
        <v>NPV</v>
      </c>
      <c r="F78" s="85">
        <f ca="1">F77+G74</f>
        <v>-46329103.068331547</v>
      </c>
    </row>
    <row r="79" spans="2:37">
      <c r="B79" s="84" t="s">
        <v>536</v>
      </c>
      <c r="F79" s="90">
        <f ca="1">IRR(G74:R74)</f>
        <v>-0.11725972961493702</v>
      </c>
    </row>
    <row r="80" spans="2:37" ht="16.2" thickBot="1">
      <c r="B80" s="87" t="str">
        <f t="shared" si="105"/>
        <v>Equity Multiple</v>
      </c>
      <c r="C80" s="88"/>
      <c r="D80" s="88"/>
      <c r="E80" s="88"/>
      <c r="F80" s="89">
        <f ca="1">(F76/-G74)+1</f>
        <v>-6.2670589984160419E-2</v>
      </c>
    </row>
    <row r="82" spans="1:37">
      <c r="A82" s="58" t="s">
        <v>472</v>
      </c>
      <c r="B82" s="59" t="s">
        <v>537</v>
      </c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</row>
    <row r="83" spans="1:37">
      <c r="B83" s="58" t="s">
        <v>538</v>
      </c>
      <c r="H83" s="91">
        <f ca="1">-H62/$G$62</f>
        <v>1.4489084523343961E-2</v>
      </c>
      <c r="I83" s="91">
        <f t="shared" ref="I83:R83" ca="1" si="106">-I62/$G$62</f>
        <v>3.3863483663401854E-2</v>
      </c>
      <c r="J83" s="91">
        <f t="shared" ca="1" si="106"/>
        <v>3.4326453818986934E-2</v>
      </c>
      <c r="K83" s="91">
        <f t="shared" ca="1" si="106"/>
        <v>3.4783543657873631E-2</v>
      </c>
      <c r="L83" s="91">
        <f t="shared" ca="1" si="106"/>
        <v>3.523381198918276E-2</v>
      </c>
      <c r="M83" s="91">
        <f t="shared" ca="1" si="106"/>
        <v>3.567625795693833E-2</v>
      </c>
      <c r="N83" s="91">
        <f t="shared" ca="1" si="106"/>
        <v>3.6109817904282977E-2</v>
      </c>
      <c r="O83" s="91">
        <f t="shared" ca="1" si="106"/>
        <v>3.6533362084489422E-2</v>
      </c>
      <c r="P83" s="91">
        <f t="shared" ca="1" si="106"/>
        <v>3.6945691211534286E-2</v>
      </c>
      <c r="Q83" s="91">
        <f t="shared" ca="1" si="106"/>
        <v>0.71112298971832044</v>
      </c>
      <c r="R83" s="91">
        <f t="shared" ca="1" si="106"/>
        <v>0</v>
      </c>
      <c r="S83" s="91">
        <f t="shared" ref="S83:AK83" ca="1" si="107">-S62/$G$62</f>
        <v>0</v>
      </c>
      <c r="T83" s="91">
        <f t="shared" ca="1" si="107"/>
        <v>0</v>
      </c>
      <c r="U83" s="91">
        <f t="shared" ca="1" si="107"/>
        <v>0</v>
      </c>
      <c r="V83" s="91">
        <f t="shared" ca="1" si="107"/>
        <v>0</v>
      </c>
      <c r="W83" s="91">
        <f t="shared" ca="1" si="107"/>
        <v>0</v>
      </c>
      <c r="X83" s="91">
        <f t="shared" ca="1" si="107"/>
        <v>0</v>
      </c>
      <c r="Y83" s="91">
        <f t="shared" ca="1" si="107"/>
        <v>0</v>
      </c>
      <c r="Z83" s="91">
        <f t="shared" ca="1" si="107"/>
        <v>0</v>
      </c>
      <c r="AA83" s="91">
        <f t="shared" ca="1" si="107"/>
        <v>0</v>
      </c>
      <c r="AB83" s="91">
        <f t="shared" ca="1" si="107"/>
        <v>0</v>
      </c>
      <c r="AC83" s="91">
        <f t="shared" ca="1" si="107"/>
        <v>0</v>
      </c>
      <c r="AD83" s="91">
        <f t="shared" ca="1" si="107"/>
        <v>0</v>
      </c>
      <c r="AE83" s="91">
        <f t="shared" ca="1" si="107"/>
        <v>0</v>
      </c>
      <c r="AF83" s="91">
        <f t="shared" ca="1" si="107"/>
        <v>0</v>
      </c>
      <c r="AG83" s="91">
        <f t="shared" ca="1" si="107"/>
        <v>0</v>
      </c>
      <c r="AH83" s="91">
        <f t="shared" ca="1" si="107"/>
        <v>0</v>
      </c>
      <c r="AI83" s="91">
        <f t="shared" ca="1" si="107"/>
        <v>0</v>
      </c>
      <c r="AJ83" s="91">
        <f t="shared" ca="1" si="107"/>
        <v>0</v>
      </c>
      <c r="AK83" s="91">
        <f t="shared" ca="1" si="107"/>
        <v>0</v>
      </c>
    </row>
    <row r="84" spans="1:37">
      <c r="B84" s="58" t="s">
        <v>539</v>
      </c>
      <c r="H84" s="91">
        <f ca="1">-H74/$G$74</f>
        <v>-0.14589635588673366</v>
      </c>
      <c r="I84" s="91">
        <f t="shared" ref="I84:R84" ca="1" si="108">-I74/$G$74</f>
        <v>-8.1315025419874024E-2</v>
      </c>
      <c r="J84" s="91">
        <f t="shared" ca="1" si="108"/>
        <v>-7.9771791567923758E-2</v>
      </c>
      <c r="K84" s="91">
        <f t="shared" ca="1" si="108"/>
        <v>-7.8248158771634768E-2</v>
      </c>
      <c r="L84" s="91">
        <f t="shared" ca="1" si="108"/>
        <v>-7.6747264333937679E-2</v>
      </c>
      <c r="M84" s="91">
        <f t="shared" ca="1" si="108"/>
        <v>-7.5272444441419104E-2</v>
      </c>
      <c r="N84" s="91">
        <f t="shared" ca="1" si="108"/>
        <v>-7.3827244616936946E-2</v>
      </c>
      <c r="O84" s="91">
        <f t="shared" ca="1" si="108"/>
        <v>-7.2415430682915449E-2</v>
      </c>
      <c r="P84" s="91">
        <f t="shared" ca="1" si="108"/>
        <v>-7.1041000259432593E-2</v>
      </c>
      <c r="Q84" s="91">
        <f t="shared" ca="1" si="108"/>
        <v>0.69186412599664759</v>
      </c>
      <c r="R84" s="91">
        <f t="shared" ca="1" si="108"/>
        <v>0</v>
      </c>
      <c r="S84" s="91">
        <f t="shared" ref="S84:AK84" ca="1" si="109">-S74/$G$74</f>
        <v>0</v>
      </c>
      <c r="T84" s="91">
        <f t="shared" ca="1" si="109"/>
        <v>0</v>
      </c>
      <c r="U84" s="91">
        <f t="shared" ca="1" si="109"/>
        <v>0</v>
      </c>
      <c r="V84" s="91">
        <f t="shared" ca="1" si="109"/>
        <v>0</v>
      </c>
      <c r="W84" s="91">
        <f t="shared" ca="1" si="109"/>
        <v>0</v>
      </c>
      <c r="X84" s="91">
        <f t="shared" ca="1" si="109"/>
        <v>0</v>
      </c>
      <c r="Y84" s="91">
        <f t="shared" ca="1" si="109"/>
        <v>0</v>
      </c>
      <c r="Z84" s="91">
        <f t="shared" ca="1" si="109"/>
        <v>0</v>
      </c>
      <c r="AA84" s="91">
        <f t="shared" ca="1" si="109"/>
        <v>0</v>
      </c>
      <c r="AB84" s="91">
        <f t="shared" ca="1" si="109"/>
        <v>0</v>
      </c>
      <c r="AC84" s="91">
        <f t="shared" ca="1" si="109"/>
        <v>0</v>
      </c>
      <c r="AD84" s="91">
        <f t="shared" ca="1" si="109"/>
        <v>0</v>
      </c>
      <c r="AE84" s="91">
        <f t="shared" ca="1" si="109"/>
        <v>0</v>
      </c>
      <c r="AF84" s="91">
        <f t="shared" ca="1" si="109"/>
        <v>0</v>
      </c>
      <c r="AG84" s="91">
        <f t="shared" ca="1" si="109"/>
        <v>0</v>
      </c>
      <c r="AH84" s="91">
        <f t="shared" ca="1" si="109"/>
        <v>0</v>
      </c>
      <c r="AI84" s="91">
        <f t="shared" ca="1" si="109"/>
        <v>0</v>
      </c>
      <c r="AJ84" s="91">
        <f t="shared" ca="1" si="109"/>
        <v>0</v>
      </c>
      <c r="AK84" s="91">
        <f t="shared" ca="1" si="109"/>
        <v>0</v>
      </c>
    </row>
    <row r="85" spans="1:37">
      <c r="B85" s="58" t="s">
        <v>540</v>
      </c>
      <c r="H85" s="61">
        <f t="shared" ref="H85:R85" ca="1" si="110">-CUMPRINC($R$13/12,$R$14*12,$R$12,H39*12-11,H39*12,0)</f>
        <v>2470063.9888312006</v>
      </c>
      <c r="I85" s="61">
        <f t="shared" ca="1" si="110"/>
        <v>2611993.68872046</v>
      </c>
      <c r="J85" s="61">
        <f t="shared" ca="1" si="110"/>
        <v>2762078.6590001793</v>
      </c>
      <c r="K85" s="61">
        <f t="shared" ca="1" si="110"/>
        <v>2920787.500922903</v>
      </c>
      <c r="L85" s="61">
        <f t="shared" ca="1" si="110"/>
        <v>3088615.7415355863</v>
      </c>
      <c r="M85" s="61">
        <f t="shared" ca="1" si="110"/>
        <v>3266087.3808338121</v>
      </c>
      <c r="N85" s="61">
        <f t="shared" ca="1" si="110"/>
        <v>3453756.5278153797</v>
      </c>
      <c r="O85" s="61">
        <f t="shared" ca="1" si="110"/>
        <v>3652209.1305414168</v>
      </c>
      <c r="P85" s="61">
        <f t="shared" ca="1" si="110"/>
        <v>3862064.8056066744</v>
      </c>
      <c r="Q85" s="61">
        <f t="shared" ca="1" si="110"/>
        <v>4083978.7727310644</v>
      </c>
      <c r="R85" s="61">
        <f t="shared" ca="1" si="110"/>
        <v>4318643.9005126739</v>
      </c>
      <c r="S85" s="61">
        <f t="shared" ref="S85:AK85" ca="1" si="111">-CUMPRINC($R$13/12,$R$14*12,$R$12,S39*12-11,S39*12,0)</f>
        <v>4566792.869729613</v>
      </c>
      <c r="T85" s="61">
        <f t="shared" ca="1" si="111"/>
        <v>4829200.4609450288</v>
      </c>
      <c r="U85" s="61">
        <f t="shared" ca="1" si="111"/>
        <v>5106685.9735577302</v>
      </c>
      <c r="V85" s="61">
        <f t="shared" ca="1" si="111"/>
        <v>5400115.7838513078</v>
      </c>
      <c r="W85" s="61">
        <f t="shared" ca="1" si="111"/>
        <v>5710406.0500285579</v>
      </c>
      <c r="X85" s="61">
        <f t="shared" ca="1" si="111"/>
        <v>6038525.5726769827</v>
      </c>
      <c r="Y85" s="61">
        <f t="shared" ca="1" si="111"/>
        <v>6385498.8195964713</v>
      </c>
      <c r="Z85" s="61">
        <f t="shared" ca="1" si="111"/>
        <v>6752409.1244333079</v>
      </c>
      <c r="AA85" s="61">
        <f t="shared" ca="1" si="111"/>
        <v>7140402.0691075074</v>
      </c>
      <c r="AB85" s="61" t="e">
        <f t="shared" ca="1" si="111"/>
        <v>#NUM!</v>
      </c>
      <c r="AC85" s="61" t="e">
        <f t="shared" ca="1" si="111"/>
        <v>#NUM!</v>
      </c>
      <c r="AD85" s="61" t="e">
        <f t="shared" ca="1" si="111"/>
        <v>#NUM!</v>
      </c>
      <c r="AE85" s="61" t="e">
        <f t="shared" ca="1" si="111"/>
        <v>#NUM!</v>
      </c>
      <c r="AF85" s="61" t="e">
        <f t="shared" ca="1" si="111"/>
        <v>#NUM!</v>
      </c>
      <c r="AG85" s="61" t="e">
        <f t="shared" ca="1" si="111"/>
        <v>#NUM!</v>
      </c>
      <c r="AH85" s="61" t="e">
        <f t="shared" ca="1" si="111"/>
        <v>#NUM!</v>
      </c>
      <c r="AI85" s="61" t="e">
        <f t="shared" ca="1" si="111"/>
        <v>#NUM!</v>
      </c>
      <c r="AJ85" s="61" t="e">
        <f t="shared" ca="1" si="111"/>
        <v>#NUM!</v>
      </c>
      <c r="AK85" s="61" t="e">
        <f t="shared" ca="1" si="111"/>
        <v>#NUM!</v>
      </c>
    </row>
    <row r="86" spans="1:37">
      <c r="B86" s="58" t="s">
        <v>541</v>
      </c>
      <c r="H86" s="91">
        <f t="shared" ref="H86:AK86" ca="1" si="112">IF(H39&lt;=$M$26,(H85+H74)/-$G$74,0)</f>
        <v>-8.0713569307543989E-2</v>
      </c>
      <c r="I86" s="91">
        <f t="shared" ca="1" si="112"/>
        <v>-1.2386840592314409E-2</v>
      </c>
      <c r="J86" s="91">
        <f t="shared" ca="1" si="112"/>
        <v>-6.8829981768928315E-3</v>
      </c>
      <c r="K86" s="91">
        <f t="shared" ca="1" si="112"/>
        <v>-1.1711805327390703E-3</v>
      </c>
      <c r="L86" s="91">
        <f t="shared" ca="1" si="112"/>
        <v>4.7585515542182084E-3</v>
      </c>
      <c r="M86" s="91">
        <f t="shared" ca="1" si="112"/>
        <v>1.0916689790124733E-2</v>
      </c>
      <c r="N86" s="91">
        <f t="shared" ca="1" si="112"/>
        <v>1.7314311094580981E-2</v>
      </c>
      <c r="O86" s="91">
        <f t="shared" ca="1" si="112"/>
        <v>2.3963112292117447E-2</v>
      </c>
      <c r="P86" s="91">
        <f t="shared" ca="1" si="112"/>
        <v>3.0875446892197438E-2</v>
      </c>
      <c r="Q86" s="91">
        <f t="shared" ca="1" si="112"/>
        <v>0.79963668490223072</v>
      </c>
      <c r="R86" s="91">
        <f t="shared" si="112"/>
        <v>0</v>
      </c>
      <c r="S86" s="91">
        <f t="shared" si="112"/>
        <v>0</v>
      </c>
      <c r="T86" s="91">
        <f t="shared" si="112"/>
        <v>0</v>
      </c>
      <c r="U86" s="91">
        <f t="shared" si="112"/>
        <v>0</v>
      </c>
      <c r="V86" s="91">
        <f t="shared" si="112"/>
        <v>0</v>
      </c>
      <c r="W86" s="91">
        <f t="shared" si="112"/>
        <v>0</v>
      </c>
      <c r="X86" s="91">
        <f t="shared" si="112"/>
        <v>0</v>
      </c>
      <c r="Y86" s="91">
        <f t="shared" si="112"/>
        <v>0</v>
      </c>
      <c r="Z86" s="91">
        <f t="shared" si="112"/>
        <v>0</v>
      </c>
      <c r="AA86" s="91">
        <f t="shared" si="112"/>
        <v>0</v>
      </c>
      <c r="AB86" s="91">
        <f t="shared" si="112"/>
        <v>0</v>
      </c>
      <c r="AC86" s="91">
        <f t="shared" si="112"/>
        <v>0</v>
      </c>
      <c r="AD86" s="91">
        <f t="shared" si="112"/>
        <v>0</v>
      </c>
      <c r="AE86" s="91">
        <f t="shared" si="112"/>
        <v>0</v>
      </c>
      <c r="AF86" s="91">
        <f t="shared" si="112"/>
        <v>0</v>
      </c>
      <c r="AG86" s="91">
        <f t="shared" si="112"/>
        <v>0</v>
      </c>
      <c r="AH86" s="91">
        <f t="shared" si="112"/>
        <v>0</v>
      </c>
      <c r="AI86" s="91">
        <f t="shared" si="112"/>
        <v>0</v>
      </c>
      <c r="AJ86" s="91">
        <f t="shared" si="112"/>
        <v>0</v>
      </c>
      <c r="AK86" s="91">
        <f t="shared" si="112"/>
        <v>0</v>
      </c>
    </row>
    <row r="87" spans="1:37">
      <c r="B87" s="58" t="s">
        <v>491</v>
      </c>
      <c r="H87" s="68">
        <f t="shared" ref="H87:AK87" ca="1" si="113">IF(H39&lt;=$M$26,H58/-H72,0)</f>
        <v>0.24870552867807472</v>
      </c>
      <c r="I87" s="68">
        <f t="shared" ca="1" si="113"/>
        <v>0.58126761520499215</v>
      </c>
      <c r="J87" s="68">
        <f t="shared" ca="1" si="113"/>
        <v>0.58921451047787465</v>
      </c>
      <c r="K87" s="68">
        <f t="shared" ca="1" si="113"/>
        <v>0.59706046995519957</v>
      </c>
      <c r="L87" s="68">
        <f t="shared" ca="1" si="113"/>
        <v>0.60478933807000756</v>
      </c>
      <c r="M87" s="68">
        <f t="shared" ca="1" si="113"/>
        <v>0.61238393510233513</v>
      </c>
      <c r="N87" s="68">
        <f t="shared" ca="1" si="113"/>
        <v>0.61982600335338733</v>
      </c>
      <c r="O87" s="68">
        <f t="shared" ca="1" si="113"/>
        <v>0.62709615068996005</v>
      </c>
      <c r="P87" s="68">
        <f t="shared" ca="1" si="113"/>
        <v>0.63417379133494634</v>
      </c>
      <c r="Q87" s="68">
        <f t="shared" ca="1" si="113"/>
        <v>0.6410370837739946</v>
      </c>
      <c r="R87" s="68">
        <f t="shared" si="113"/>
        <v>0</v>
      </c>
      <c r="S87" s="68">
        <f t="shared" si="113"/>
        <v>0</v>
      </c>
      <c r="T87" s="68">
        <f t="shared" si="113"/>
        <v>0</v>
      </c>
      <c r="U87" s="68">
        <f t="shared" si="113"/>
        <v>0</v>
      </c>
      <c r="V87" s="68">
        <f t="shared" si="113"/>
        <v>0</v>
      </c>
      <c r="W87" s="68">
        <f t="shared" si="113"/>
        <v>0</v>
      </c>
      <c r="X87" s="68">
        <f t="shared" si="113"/>
        <v>0</v>
      </c>
      <c r="Y87" s="68">
        <f t="shared" si="113"/>
        <v>0</v>
      </c>
      <c r="Z87" s="68">
        <f t="shared" si="113"/>
        <v>0</v>
      </c>
      <c r="AA87" s="68">
        <f t="shared" si="113"/>
        <v>0</v>
      </c>
      <c r="AB87" s="68">
        <f t="shared" si="113"/>
        <v>0</v>
      </c>
      <c r="AC87" s="68">
        <f t="shared" si="113"/>
        <v>0</v>
      </c>
      <c r="AD87" s="68">
        <f t="shared" si="113"/>
        <v>0</v>
      </c>
      <c r="AE87" s="68">
        <f t="shared" si="113"/>
        <v>0</v>
      </c>
      <c r="AF87" s="68">
        <f t="shared" si="113"/>
        <v>0</v>
      </c>
      <c r="AG87" s="68">
        <f t="shared" si="113"/>
        <v>0</v>
      </c>
      <c r="AH87" s="68">
        <f t="shared" si="113"/>
        <v>0</v>
      </c>
      <c r="AI87" s="68">
        <f t="shared" si="113"/>
        <v>0</v>
      </c>
      <c r="AJ87" s="68">
        <f t="shared" si="113"/>
        <v>0</v>
      </c>
      <c r="AK87" s="68">
        <f t="shared" si="113"/>
        <v>0</v>
      </c>
    </row>
    <row r="88" spans="1:37">
      <c r="B88" s="58" t="s">
        <v>493</v>
      </c>
      <c r="H88" s="91">
        <f ca="1">H62/($G$70-SUM(H85:$H$85))</f>
        <v>2.1293537362527502E-2</v>
      </c>
      <c r="I88" s="91">
        <f ca="1">I62/($G$70-SUM($H85:I$85))</f>
        <v>5.1326451036593439E-2</v>
      </c>
      <c r="J88" s="91">
        <f ca="1">J62/($G$70-SUM($H85:J$85))</f>
        <v>5.3811647628156836E-2</v>
      </c>
      <c r="K88" s="91">
        <f ca="1">K62/($G$70-SUM($H85:K$85))</f>
        <v>5.657912536441366E-2</v>
      </c>
      <c r="L88" s="91">
        <f ca="1">L62/($G$70-SUM($H85:L$85))</f>
        <v>5.9685424338987422E-2</v>
      </c>
      <c r="M88" s="91">
        <f ca="1">M62/($G$70-SUM($H85:M$85))</f>
        <v>6.3203276107009071E-2</v>
      </c>
      <c r="N88" s="91">
        <f ca="1">N62/($G$70-SUM($H85:N$85))</f>
        <v>6.7227831459945112E-2</v>
      </c>
      <c r="O88" s="91">
        <f ca="1">O62/($G$70-SUM($H85:O$85))</f>
        <v>7.1886001985420847E-2</v>
      </c>
      <c r="P88" s="91">
        <f ca="1">P62/($G$70-SUM($H85:P$85))</f>
        <v>7.7350896909010675E-2</v>
      </c>
      <c r="Q88" s="91">
        <f ca="1">Q62/($G$70-SUM($H85:Q$85))</f>
        <v>1.5969319343911479</v>
      </c>
      <c r="R88" s="91">
        <f ca="1">R62/($G$70-SUM($H85:R$85))</f>
        <v>0</v>
      </c>
      <c r="S88" s="91">
        <f ca="1">S62/($G$70-SUM($H85:S$85))</f>
        <v>0</v>
      </c>
      <c r="T88" s="91">
        <f ca="1">T62/($G$70-SUM($H85:T$85))</f>
        <v>0</v>
      </c>
      <c r="U88" s="91">
        <f ca="1">U62/($G$70-SUM($H85:U$85))</f>
        <v>0</v>
      </c>
      <c r="V88" s="91">
        <f ca="1">V62/($G$70-SUM($H85:V$85))</f>
        <v>0</v>
      </c>
      <c r="W88" s="91">
        <f ca="1">W62/($G$70-SUM($H85:W$85))</f>
        <v>0</v>
      </c>
      <c r="X88" s="91">
        <f ca="1">X62/($G$70-SUM($H85:X$85))</f>
        <v>0</v>
      </c>
      <c r="Y88" s="91">
        <f ca="1">Y62/($G$70-SUM($H85:Y$85))</f>
        <v>0</v>
      </c>
      <c r="Z88" s="91">
        <f ca="1">Z62/($G$70-SUM($H85:Z$85))</f>
        <v>0</v>
      </c>
      <c r="AA88" s="91">
        <f ca="1">AA62/($G$70-SUM($H85:AA$85))</f>
        <v>0</v>
      </c>
      <c r="AB88" s="91" t="e">
        <f ca="1">AB62/($G$70-SUM($H85:AB$85))</f>
        <v>#NUM!</v>
      </c>
      <c r="AC88" s="91" t="e">
        <f ca="1">AC62/($G$70-SUM($H85:AC$85))</f>
        <v>#NUM!</v>
      </c>
      <c r="AD88" s="91" t="e">
        <f ca="1">AD62/($G$70-SUM($H85:AD$85))</f>
        <v>#NUM!</v>
      </c>
      <c r="AE88" s="91" t="e">
        <f ca="1">AE62/($G$70-SUM($H85:AE$85))</f>
        <v>#NUM!</v>
      </c>
      <c r="AF88" s="91" t="e">
        <f ca="1">AF62/($G$70-SUM($H85:AF$85))</f>
        <v>#NUM!</v>
      </c>
      <c r="AG88" s="91" t="e">
        <f ca="1">AG62/($G$70-SUM($H85:AG$85))</f>
        <v>#NUM!</v>
      </c>
      <c r="AH88" s="91" t="e">
        <f ca="1">AH62/($G$70-SUM($H85:AH$85))</f>
        <v>#NUM!</v>
      </c>
      <c r="AI88" s="91" t="e">
        <f ca="1">AI62/($G$70-SUM($H85:AI$85))</f>
        <v>#NUM!</v>
      </c>
      <c r="AJ88" s="91" t="e">
        <f ca="1">AJ62/($G$70-SUM($H85:AJ$85))</f>
        <v>#NUM!</v>
      </c>
      <c r="AK88" s="91" t="e">
        <f ca="1">AK62/($G$70-SUM($H85:AK$85))</f>
        <v>#NUM!</v>
      </c>
    </row>
  </sheetData>
  <pageMargins left="0.7" right="0.7" top="0.75" bottom="0.75" header="0.3" footer="0.3"/>
  <pageSetup scale="42" orientation="portrait" r:id="rId1"/>
  <headerFooter>
    <oddHeader xml:space="preserve">&amp;L2019 ULI Hines Student Competition&amp;R2019-331 &amp;A 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B478A-0977-4DE0-B6F7-B5F7ECB9A46D}">
  <sheetPr>
    <tabColor rgb="FF002060"/>
  </sheetPr>
  <dimension ref="A8:AK87"/>
  <sheetViews>
    <sheetView showGridLines="0" view="pageBreakPreview" zoomScale="80" zoomScaleNormal="100" zoomScaleSheetLayoutView="80" workbookViewId="0"/>
  </sheetViews>
  <sheetFormatPr defaultColWidth="12.44140625" defaultRowHeight="15.6"/>
  <cols>
    <col min="1" max="3" width="1.88671875" style="58" customWidth="1"/>
    <col min="4" max="4" width="6.44140625" style="58" bestFit="1" customWidth="1"/>
    <col min="5" max="5" width="12.44140625" style="58"/>
    <col min="6" max="6" width="16.77734375" style="58" bestFit="1" customWidth="1"/>
    <col min="7" max="7" width="17.44140625" style="58" bestFit="1" customWidth="1"/>
    <col min="8" max="18" width="14.6640625" style="58" bestFit="1" customWidth="1"/>
    <col min="19" max="19" width="15.21875" style="58" bestFit="1" customWidth="1"/>
    <col min="20" max="20" width="14.33203125" style="221" customWidth="1"/>
    <col min="21" max="21" width="13.33203125" style="58" bestFit="1" customWidth="1"/>
    <col min="22" max="16384" width="12.44140625" style="58"/>
  </cols>
  <sheetData>
    <row r="8" spans="1:21">
      <c r="B8" s="410" t="s">
        <v>762</v>
      </c>
    </row>
    <row r="9" spans="1:21">
      <c r="B9" s="411" t="s">
        <v>765</v>
      </c>
    </row>
    <row r="10" spans="1:21">
      <c r="T10" s="221" t="s">
        <v>672</v>
      </c>
      <c r="U10" s="212" t="s">
        <v>663</v>
      </c>
    </row>
    <row r="11" spans="1:21">
      <c r="A11" s="58" t="s">
        <v>472</v>
      </c>
      <c r="B11" s="59" t="s">
        <v>473</v>
      </c>
      <c r="C11" s="59"/>
      <c r="D11" s="59"/>
      <c r="E11" s="59"/>
      <c r="F11" s="59"/>
      <c r="G11" s="59"/>
      <c r="I11" s="59" t="s">
        <v>474</v>
      </c>
      <c r="J11" s="59"/>
      <c r="K11" s="59"/>
      <c r="L11" s="59"/>
      <c r="M11" s="59"/>
      <c r="O11" s="59" t="s">
        <v>475</v>
      </c>
      <c r="P11" s="59"/>
      <c r="Q11" s="59"/>
      <c r="R11" s="59"/>
      <c r="T11" s="222" t="s">
        <v>659</v>
      </c>
      <c r="U11" s="217">
        <f>'Area Matrix'!F20</f>
        <v>0.3</v>
      </c>
    </row>
    <row r="12" spans="1:21">
      <c r="B12" s="58" t="s">
        <v>476</v>
      </c>
      <c r="G12" s="163">
        <f>ROUNDDOWN(G15/G16,0)</f>
        <v>150</v>
      </c>
      <c r="I12" s="60" t="s">
        <v>477</v>
      </c>
      <c r="L12" s="213" t="s">
        <v>658</v>
      </c>
      <c r="O12" s="58" t="s">
        <v>478</v>
      </c>
      <c r="R12" s="61">
        <f ca="1">AVERAGE(G23:G25)</f>
        <v>18461028.375119712</v>
      </c>
      <c r="T12" s="222" t="s">
        <v>660</v>
      </c>
      <c r="U12" s="218">
        <f>'Area Matrix'!L35</f>
        <v>7308249.1642280035</v>
      </c>
    </row>
    <row r="13" spans="1:21">
      <c r="B13" s="58" t="s">
        <v>479</v>
      </c>
      <c r="F13" s="62"/>
      <c r="G13" s="99">
        <f>'Area Matrix'!D20</f>
        <v>177140.1</v>
      </c>
      <c r="I13" s="58" t="s">
        <v>512</v>
      </c>
      <c r="L13" s="577">
        <v>0.4</v>
      </c>
      <c r="M13" s="214">
        <f>L13*'Phase I - CF MF Market Rental'!M14</f>
        <v>600</v>
      </c>
      <c r="O13" s="58" t="s">
        <v>460</v>
      </c>
      <c r="R13" s="578">
        <v>5.6000000000000001E-2</v>
      </c>
      <c r="T13" s="222" t="s">
        <v>661</v>
      </c>
      <c r="U13" s="218">
        <f ca="1">SUM('Area Matrix'!D35,'Area Matrix'!H35,'Area Matrix'!P35,'Area Matrix'!T35)</f>
        <v>46826638.685350269</v>
      </c>
    </row>
    <row r="14" spans="1:21">
      <c r="B14" s="58" t="s">
        <v>625</v>
      </c>
      <c r="G14" s="211">
        <f>'Phase I - CF MF Market Rental'!G14</f>
        <v>0.85</v>
      </c>
      <c r="I14" s="58" t="s">
        <v>720</v>
      </c>
      <c r="L14" s="577">
        <v>0.5</v>
      </c>
      <c r="M14" s="214">
        <f>L14*'Phase I - CF MF Market Rental'!M15</f>
        <v>850</v>
      </c>
      <c r="O14" s="58" t="s">
        <v>482</v>
      </c>
      <c r="R14" s="579">
        <v>20</v>
      </c>
      <c r="T14" s="222" t="s">
        <v>662</v>
      </c>
      <c r="U14" s="219" t="s">
        <v>663</v>
      </c>
    </row>
    <row r="15" spans="1:21">
      <c r="B15" s="58" t="s">
        <v>557</v>
      </c>
      <c r="G15" s="162">
        <f>G13*G14</f>
        <v>150569.08499999999</v>
      </c>
      <c r="I15" s="58" t="s">
        <v>487</v>
      </c>
      <c r="M15" s="583">
        <v>0.02</v>
      </c>
      <c r="O15" s="58" t="s">
        <v>485</v>
      </c>
      <c r="R15" s="61">
        <f ca="1">PMT(R13/12,R14*12,R12)</f>
        <v>-128036.00360362226</v>
      </c>
      <c r="S15" s="65"/>
      <c r="T15" s="222" t="s">
        <v>664</v>
      </c>
      <c r="U15" s="220">
        <f>IF(U14="Y", 30%, 0%)</f>
        <v>0.3</v>
      </c>
    </row>
    <row r="16" spans="1:21">
      <c r="B16" s="58" t="s">
        <v>21</v>
      </c>
      <c r="G16" s="210">
        <f>'Phase I - CF MF Market Rental'!G16</f>
        <v>1000</v>
      </c>
      <c r="I16" s="58" t="s">
        <v>489</v>
      </c>
      <c r="M16" s="578">
        <v>2.5000000000000001E-2</v>
      </c>
      <c r="T16" s="222" t="s">
        <v>665</v>
      </c>
      <c r="U16" s="218">
        <f ca="1">U12+(U13*(100%+U15))</f>
        <v>68182879.455183357</v>
      </c>
    </row>
    <row r="17" spans="2:21">
      <c r="B17" s="58" t="s">
        <v>483</v>
      </c>
      <c r="E17" s="64"/>
      <c r="F17" s="64"/>
      <c r="G17" s="211"/>
      <c r="I17" s="58" t="s">
        <v>490</v>
      </c>
      <c r="M17" s="584">
        <v>6</v>
      </c>
      <c r="O17" s="58" t="s">
        <v>467</v>
      </c>
      <c r="R17" s="581">
        <v>0.7</v>
      </c>
      <c r="T17" s="222" t="s">
        <v>666</v>
      </c>
      <c r="U17" s="580">
        <v>0.09</v>
      </c>
    </row>
    <row r="18" spans="2:21">
      <c r="B18" s="58" t="s">
        <v>486</v>
      </c>
      <c r="G18" s="211">
        <f>'Phase I - CF MF Market Rental'!G18</f>
        <v>0.5</v>
      </c>
      <c r="I18" s="58" t="s">
        <v>492</v>
      </c>
      <c r="M18" s="584">
        <v>29</v>
      </c>
      <c r="O18" s="58" t="s">
        <v>491</v>
      </c>
      <c r="R18" s="582">
        <v>1.33</v>
      </c>
      <c r="T18" s="222" t="s">
        <v>667</v>
      </c>
      <c r="U18" s="218">
        <f ca="1">U16*U17*U11</f>
        <v>1840937.7452899504</v>
      </c>
    </row>
    <row r="19" spans="2:21">
      <c r="B19" s="58" t="s">
        <v>488</v>
      </c>
      <c r="G19" s="211">
        <f>1-G18</f>
        <v>0.5</v>
      </c>
      <c r="I19" s="58" t="s">
        <v>494</v>
      </c>
      <c r="M19" s="585">
        <v>0.3</v>
      </c>
      <c r="O19" s="58" t="s">
        <v>493</v>
      </c>
      <c r="R19" s="581">
        <v>0.08</v>
      </c>
      <c r="T19" s="222" t="s">
        <v>668</v>
      </c>
      <c r="U19" s="218">
        <f ca="1">U18*10</f>
        <v>18409377.452899504</v>
      </c>
    </row>
    <row r="20" spans="2:21">
      <c r="B20" s="58" t="s">
        <v>496</v>
      </c>
      <c r="G20" s="99">
        <f>G12/1.5</f>
        <v>100</v>
      </c>
      <c r="I20" s="58" t="s">
        <v>497</v>
      </c>
      <c r="M20" s="578">
        <v>2.5000000000000001E-2</v>
      </c>
      <c r="O20" s="215"/>
      <c r="P20" s="215"/>
      <c r="Q20" s="215"/>
      <c r="R20" s="216"/>
      <c r="T20" s="222" t="s">
        <v>669</v>
      </c>
      <c r="U20" s="218">
        <f ca="1">U19*99.99%</f>
        <v>18407536.515154213</v>
      </c>
    </row>
    <row r="21" spans="2:21">
      <c r="G21" s="63"/>
      <c r="I21" s="58" t="s">
        <v>728</v>
      </c>
      <c r="M21" s="378">
        <f>Taxes!$H$13</f>
        <v>0.04</v>
      </c>
      <c r="R21" s="67"/>
      <c r="T21" s="222" t="s">
        <v>670</v>
      </c>
      <c r="U21" s="586">
        <v>0.98</v>
      </c>
    </row>
    <row r="22" spans="2:21">
      <c r="B22" s="59" t="s">
        <v>502</v>
      </c>
      <c r="C22" s="59"/>
      <c r="D22" s="59"/>
      <c r="E22" s="59"/>
      <c r="F22" s="59"/>
      <c r="G22" s="59"/>
      <c r="I22" s="58" t="s">
        <v>498</v>
      </c>
      <c r="M22" s="583">
        <v>0.02</v>
      </c>
      <c r="O22" s="59" t="s">
        <v>499</v>
      </c>
      <c r="P22" s="59"/>
      <c r="Q22" s="59"/>
      <c r="R22" s="59"/>
      <c r="T22" s="222" t="s">
        <v>671</v>
      </c>
      <c r="U22" s="218">
        <f ca="1">IF(U10="Y",U20*U21, 0)</f>
        <v>18039385.784851126</v>
      </c>
    </row>
    <row r="23" spans="2:21">
      <c r="B23" s="58" t="s">
        <v>467</v>
      </c>
      <c r="G23" s="74">
        <f ca="1">R17*R29</f>
        <v>37894421.49470479</v>
      </c>
      <c r="I23" s="58" t="s">
        <v>500</v>
      </c>
      <c r="K23" s="68"/>
      <c r="L23" s="587">
        <v>0.5</v>
      </c>
      <c r="M23" s="214">
        <f>L23*'Phase I - CF MF Market Rental'!M24</f>
        <v>960</v>
      </c>
      <c r="O23" s="58" t="s">
        <v>28</v>
      </c>
      <c r="Q23" s="69">
        <f ca="1">R23/$R$26</f>
        <v>0.32575062755477402</v>
      </c>
      <c r="R23" s="61">
        <f ca="1">R31-R25-R24</f>
        <v>17634473.689607434</v>
      </c>
    </row>
    <row r="24" spans="2:21">
      <c r="B24" s="58" t="s">
        <v>491</v>
      </c>
      <c r="G24" s="61">
        <f>H57/R19</f>
        <v>10151667.75</v>
      </c>
      <c r="I24" s="58" t="s">
        <v>501</v>
      </c>
      <c r="K24" s="68"/>
      <c r="M24" s="583">
        <v>0.1</v>
      </c>
      <c r="O24" s="58" t="s">
        <v>652</v>
      </c>
      <c r="Q24" s="69">
        <f t="shared" ref="Q24:Q25" ca="1" si="0">R24/$R$26</f>
        <v>0.33323031600206143</v>
      </c>
      <c r="R24" s="61">
        <f ca="1">U22</f>
        <v>18039385.784851126</v>
      </c>
    </row>
    <row r="25" spans="2:21" ht="16.2" thickBot="1">
      <c r="B25" s="58" t="s">
        <v>493</v>
      </c>
      <c r="G25" s="61">
        <f>PV(R13/12,R14*12,-H57/R18/12,0)</f>
        <v>7336995.8806543387</v>
      </c>
      <c r="I25" s="58" t="s">
        <v>503</v>
      </c>
      <c r="K25" s="68"/>
      <c r="M25" s="579">
        <v>10</v>
      </c>
      <c r="O25" s="70" t="s">
        <v>478</v>
      </c>
      <c r="P25" s="70"/>
      <c r="Q25" s="69">
        <f t="shared" ca="1" si="0"/>
        <v>0.34101905644316444</v>
      </c>
      <c r="R25" s="72">
        <f ca="1">R12</f>
        <v>18461028.375119712</v>
      </c>
    </row>
    <row r="26" spans="2:21" ht="16.2" thickBot="1">
      <c r="G26" s="73"/>
      <c r="I26" s="58" t="s">
        <v>504</v>
      </c>
      <c r="K26" s="68"/>
      <c r="M26" s="583">
        <v>0.08</v>
      </c>
      <c r="O26" s="58" t="s">
        <v>16</v>
      </c>
      <c r="Q26" s="379">
        <f ca="1">SUM(Q23:Q25)</f>
        <v>0.99999999999999989</v>
      </c>
      <c r="R26" s="61">
        <f ca="1">SUM(R23:R25)</f>
        <v>54134887.849578276</v>
      </c>
      <c r="S26" s="380">
        <f ca="1">R31-SUM(R23:R25)</f>
        <v>0</v>
      </c>
      <c r="T26" s="58" t="s">
        <v>656</v>
      </c>
    </row>
    <row r="27" spans="2:21">
      <c r="I27" s="58" t="s">
        <v>505</v>
      </c>
      <c r="M27" s="578">
        <v>5.6000000000000001E-2</v>
      </c>
    </row>
    <row r="28" spans="2:21">
      <c r="O28" s="59" t="s">
        <v>449</v>
      </c>
      <c r="P28" s="59"/>
      <c r="Q28" s="59"/>
      <c r="R28" s="59"/>
    </row>
    <row r="29" spans="2:21">
      <c r="O29" s="58" t="s">
        <v>506</v>
      </c>
      <c r="R29" s="74">
        <f ca="1">SUM('Area Matrix'!D35,'Area Matrix'!H35,'Area Matrix'!L35,'Area Matrix'!P35,'Area Matrix'!T35)</f>
        <v>54134887.849578276</v>
      </c>
    </row>
    <row r="30" spans="2:21">
      <c r="O30" s="70" t="s">
        <v>507</v>
      </c>
      <c r="P30" s="70"/>
      <c r="Q30" s="70"/>
      <c r="R30" s="588">
        <v>0</v>
      </c>
    </row>
    <row r="31" spans="2:21">
      <c r="O31" s="58" t="s">
        <v>453</v>
      </c>
      <c r="R31" s="61">
        <f ca="1">SUM(R29:R30)</f>
        <v>54134887.849578276</v>
      </c>
    </row>
    <row r="33" spans="1:37">
      <c r="A33" s="58" t="s">
        <v>472</v>
      </c>
      <c r="B33" s="59" t="s">
        <v>508</v>
      </c>
      <c r="C33" s="59"/>
      <c r="D33" s="59"/>
      <c r="E33" s="59"/>
      <c r="F33" s="75"/>
      <c r="G33" s="75">
        <f>F33+1</f>
        <v>1</v>
      </c>
      <c r="H33" s="75">
        <f>G33+1</f>
        <v>2</v>
      </c>
      <c r="I33" s="75">
        <f t="shared" ref="I33:R33" si="1">H33+1</f>
        <v>3</v>
      </c>
      <c r="J33" s="75">
        <f t="shared" si="1"/>
        <v>4</v>
      </c>
      <c r="K33" s="75">
        <f t="shared" si="1"/>
        <v>5</v>
      </c>
      <c r="L33" s="75">
        <f t="shared" si="1"/>
        <v>6</v>
      </c>
      <c r="M33" s="75">
        <f t="shared" si="1"/>
        <v>7</v>
      </c>
      <c r="N33" s="75">
        <f t="shared" si="1"/>
        <v>8</v>
      </c>
      <c r="O33" s="75">
        <f t="shared" si="1"/>
        <v>9</v>
      </c>
      <c r="P33" s="75">
        <f t="shared" si="1"/>
        <v>10</v>
      </c>
      <c r="Q33" s="75">
        <f t="shared" si="1"/>
        <v>11</v>
      </c>
      <c r="R33" s="75">
        <f t="shared" si="1"/>
        <v>12</v>
      </c>
    </row>
    <row r="34" spans="1:37">
      <c r="B34" s="60" t="s">
        <v>509</v>
      </c>
    </row>
    <row r="35" spans="1:37">
      <c r="B35" s="58" t="s">
        <v>720</v>
      </c>
      <c r="G35" s="61">
        <f t="shared" ref="G35:R35" si="2">IF(G33&gt;=$M$17,$M$13*$M$18*$G$18*($L$33),$M$13*$G$18*(G$33*$M$18))</f>
        <v>8700</v>
      </c>
      <c r="H35" s="61">
        <f t="shared" si="2"/>
        <v>17400</v>
      </c>
      <c r="I35" s="61">
        <f t="shared" si="2"/>
        <v>26100</v>
      </c>
      <c r="J35" s="61">
        <f t="shared" si="2"/>
        <v>34800</v>
      </c>
      <c r="K35" s="61">
        <f t="shared" si="2"/>
        <v>43500</v>
      </c>
      <c r="L35" s="61">
        <f t="shared" si="2"/>
        <v>52200</v>
      </c>
      <c r="M35" s="61">
        <f t="shared" si="2"/>
        <v>52200</v>
      </c>
      <c r="N35" s="61">
        <f t="shared" si="2"/>
        <v>52200</v>
      </c>
      <c r="O35" s="61">
        <f t="shared" si="2"/>
        <v>52200</v>
      </c>
      <c r="P35" s="61">
        <f t="shared" si="2"/>
        <v>52200</v>
      </c>
      <c r="Q35" s="61">
        <f t="shared" si="2"/>
        <v>52200</v>
      </c>
      <c r="R35" s="61">
        <f t="shared" si="2"/>
        <v>52200</v>
      </c>
    </row>
    <row r="36" spans="1:37">
      <c r="B36" s="58" t="s">
        <v>512</v>
      </c>
      <c r="G36" s="61">
        <f t="shared" ref="G36:R36" si="3">IF(G33&gt;=$M$17,$M$14*$M$18*$G$19*($L$33),$M$14*$G$19*(G$33*$M$18))</f>
        <v>12325</v>
      </c>
      <c r="H36" s="61">
        <f t="shared" si="3"/>
        <v>24650</v>
      </c>
      <c r="I36" s="61">
        <f t="shared" si="3"/>
        <v>36975</v>
      </c>
      <c r="J36" s="61">
        <f t="shared" si="3"/>
        <v>49300</v>
      </c>
      <c r="K36" s="61">
        <f t="shared" si="3"/>
        <v>61625</v>
      </c>
      <c r="L36" s="61">
        <f t="shared" si="3"/>
        <v>73950</v>
      </c>
      <c r="M36" s="61">
        <f t="shared" si="3"/>
        <v>73950</v>
      </c>
      <c r="N36" s="61">
        <f t="shared" si="3"/>
        <v>73950</v>
      </c>
      <c r="O36" s="61">
        <f t="shared" si="3"/>
        <v>73950</v>
      </c>
      <c r="P36" s="61">
        <f t="shared" si="3"/>
        <v>73950</v>
      </c>
      <c r="Q36" s="61">
        <f t="shared" si="3"/>
        <v>73950</v>
      </c>
      <c r="R36" s="61">
        <f t="shared" si="3"/>
        <v>73950</v>
      </c>
    </row>
    <row r="37" spans="1:37">
      <c r="B37" s="76" t="s">
        <v>16</v>
      </c>
      <c r="C37" s="76"/>
      <c r="D37" s="76"/>
      <c r="E37" s="76"/>
      <c r="F37" s="76"/>
      <c r="G37" s="77">
        <f t="shared" ref="G37:R37" si="4">SUM(G35:G36)</f>
        <v>21025</v>
      </c>
      <c r="H37" s="77">
        <f t="shared" si="4"/>
        <v>42050</v>
      </c>
      <c r="I37" s="77">
        <f t="shared" si="4"/>
        <v>63075</v>
      </c>
      <c r="J37" s="77">
        <f t="shared" si="4"/>
        <v>84100</v>
      </c>
      <c r="K37" s="77">
        <f t="shared" si="4"/>
        <v>105125</v>
      </c>
      <c r="L37" s="77">
        <f t="shared" si="4"/>
        <v>126150</v>
      </c>
      <c r="M37" s="77">
        <f t="shared" si="4"/>
        <v>126150</v>
      </c>
      <c r="N37" s="77">
        <f t="shared" si="4"/>
        <v>126150</v>
      </c>
      <c r="O37" s="77">
        <f t="shared" si="4"/>
        <v>126150</v>
      </c>
      <c r="P37" s="77">
        <f t="shared" si="4"/>
        <v>126150</v>
      </c>
      <c r="Q37" s="77">
        <f t="shared" si="4"/>
        <v>126150</v>
      </c>
      <c r="R37" s="77">
        <f t="shared" si="4"/>
        <v>126150</v>
      </c>
    </row>
    <row r="39" spans="1:37">
      <c r="A39" s="58" t="s">
        <v>472</v>
      </c>
      <c r="B39" s="59" t="s">
        <v>513</v>
      </c>
      <c r="C39" s="59"/>
      <c r="D39" s="59"/>
      <c r="E39" s="59"/>
      <c r="F39" s="59"/>
      <c r="G39" s="589">
        <v>0</v>
      </c>
      <c r="H39" s="78">
        <f>G39+1</f>
        <v>1</v>
      </c>
      <c r="I39" s="78">
        <f t="shared" ref="I39:AK39" si="5">H39+1</f>
        <v>2</v>
      </c>
      <c r="J39" s="78">
        <f t="shared" si="5"/>
        <v>3</v>
      </c>
      <c r="K39" s="78">
        <f t="shared" si="5"/>
        <v>4</v>
      </c>
      <c r="L39" s="78">
        <f t="shared" si="5"/>
        <v>5</v>
      </c>
      <c r="M39" s="78">
        <f t="shared" si="5"/>
        <v>6</v>
      </c>
      <c r="N39" s="78">
        <f t="shared" si="5"/>
        <v>7</v>
      </c>
      <c r="O39" s="78">
        <f t="shared" si="5"/>
        <v>8</v>
      </c>
      <c r="P39" s="78">
        <f t="shared" si="5"/>
        <v>9</v>
      </c>
      <c r="Q39" s="78">
        <f t="shared" si="5"/>
        <v>10</v>
      </c>
      <c r="R39" s="78">
        <f t="shared" si="5"/>
        <v>11</v>
      </c>
      <c r="S39" s="78">
        <f t="shared" si="5"/>
        <v>12</v>
      </c>
      <c r="T39" s="224">
        <f t="shared" si="5"/>
        <v>13</v>
      </c>
      <c r="U39" s="78">
        <f t="shared" si="5"/>
        <v>14</v>
      </c>
      <c r="V39" s="78">
        <f t="shared" si="5"/>
        <v>15</v>
      </c>
      <c r="W39" s="78">
        <f t="shared" si="5"/>
        <v>16</v>
      </c>
      <c r="X39" s="78">
        <f t="shared" si="5"/>
        <v>17</v>
      </c>
      <c r="Y39" s="78">
        <f t="shared" si="5"/>
        <v>18</v>
      </c>
      <c r="Z39" s="78">
        <f t="shared" si="5"/>
        <v>19</v>
      </c>
      <c r="AA39" s="78">
        <f t="shared" si="5"/>
        <v>20</v>
      </c>
      <c r="AB39" s="78">
        <f t="shared" si="5"/>
        <v>21</v>
      </c>
      <c r="AC39" s="78">
        <f t="shared" si="5"/>
        <v>22</v>
      </c>
      <c r="AD39" s="78">
        <f t="shared" si="5"/>
        <v>23</v>
      </c>
      <c r="AE39" s="78">
        <f t="shared" si="5"/>
        <v>24</v>
      </c>
      <c r="AF39" s="78">
        <f t="shared" si="5"/>
        <v>25</v>
      </c>
      <c r="AG39" s="78">
        <f t="shared" si="5"/>
        <v>26</v>
      </c>
      <c r="AH39" s="78">
        <f t="shared" si="5"/>
        <v>27</v>
      </c>
      <c r="AI39" s="78">
        <f t="shared" si="5"/>
        <v>28</v>
      </c>
      <c r="AJ39" s="78">
        <f t="shared" si="5"/>
        <v>29</v>
      </c>
      <c r="AK39" s="78">
        <f t="shared" si="5"/>
        <v>30</v>
      </c>
    </row>
    <row r="40" spans="1:37">
      <c r="B40" s="79" t="s">
        <v>412</v>
      </c>
      <c r="C40" s="79"/>
      <c r="D40" s="79"/>
      <c r="E40" s="79"/>
      <c r="F40" s="79"/>
      <c r="G40" s="79"/>
      <c r="H40" s="80">
        <f t="shared" ref="H40:AK40" si="6">1-$M$15</f>
        <v>0.98</v>
      </c>
      <c r="I40" s="80">
        <f t="shared" si="6"/>
        <v>0.98</v>
      </c>
      <c r="J40" s="80">
        <f t="shared" si="6"/>
        <v>0.98</v>
      </c>
      <c r="K40" s="80">
        <f t="shared" si="6"/>
        <v>0.98</v>
      </c>
      <c r="L40" s="80">
        <f t="shared" si="6"/>
        <v>0.98</v>
      </c>
      <c r="M40" s="80">
        <f t="shared" si="6"/>
        <v>0.98</v>
      </c>
      <c r="N40" s="80">
        <f t="shared" si="6"/>
        <v>0.98</v>
      </c>
      <c r="O40" s="80">
        <f t="shared" si="6"/>
        <v>0.98</v>
      </c>
      <c r="P40" s="80">
        <f t="shared" si="6"/>
        <v>0.98</v>
      </c>
      <c r="Q40" s="80">
        <f t="shared" si="6"/>
        <v>0.98</v>
      </c>
      <c r="R40" s="80">
        <f t="shared" si="6"/>
        <v>0.98</v>
      </c>
      <c r="S40" s="80">
        <f t="shared" si="6"/>
        <v>0.98</v>
      </c>
      <c r="T40" s="225">
        <f t="shared" si="6"/>
        <v>0.98</v>
      </c>
      <c r="U40" s="80">
        <f t="shared" si="6"/>
        <v>0.98</v>
      </c>
      <c r="V40" s="80">
        <f t="shared" si="6"/>
        <v>0.98</v>
      </c>
      <c r="W40" s="80">
        <f t="shared" si="6"/>
        <v>0.98</v>
      </c>
      <c r="X40" s="80">
        <f t="shared" si="6"/>
        <v>0.98</v>
      </c>
      <c r="Y40" s="80">
        <f t="shared" si="6"/>
        <v>0.98</v>
      </c>
      <c r="Z40" s="80">
        <f t="shared" si="6"/>
        <v>0.98</v>
      </c>
      <c r="AA40" s="80">
        <f t="shared" si="6"/>
        <v>0.98</v>
      </c>
      <c r="AB40" s="80">
        <f t="shared" si="6"/>
        <v>0.98</v>
      </c>
      <c r="AC40" s="80">
        <f t="shared" si="6"/>
        <v>0.98</v>
      </c>
      <c r="AD40" s="80">
        <f t="shared" si="6"/>
        <v>0.98</v>
      </c>
      <c r="AE40" s="80">
        <f t="shared" si="6"/>
        <v>0.98</v>
      </c>
      <c r="AF40" s="80">
        <f t="shared" si="6"/>
        <v>0.98</v>
      </c>
      <c r="AG40" s="80">
        <f t="shared" si="6"/>
        <v>0.98</v>
      </c>
      <c r="AH40" s="80">
        <f t="shared" si="6"/>
        <v>0.98</v>
      </c>
      <c r="AI40" s="80">
        <f t="shared" si="6"/>
        <v>0.98</v>
      </c>
      <c r="AJ40" s="80">
        <f t="shared" si="6"/>
        <v>0.98</v>
      </c>
      <c r="AK40" s="80">
        <f t="shared" si="6"/>
        <v>0.98</v>
      </c>
    </row>
    <row r="41" spans="1:37"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226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</row>
    <row r="42" spans="1:37">
      <c r="B42" s="58" t="s">
        <v>506</v>
      </c>
      <c r="G42" s="61">
        <f ca="1">-R31</f>
        <v>-54134887.849578276</v>
      </c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226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</row>
    <row r="44" spans="1:37">
      <c r="B44" s="79" t="s">
        <v>514</v>
      </c>
      <c r="G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227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</row>
    <row r="45" spans="1:37">
      <c r="B45" s="58" t="s">
        <v>516</v>
      </c>
      <c r="G45" s="61"/>
      <c r="H45" s="61">
        <f>SUM(G35:R35)</f>
        <v>495900</v>
      </c>
      <c r="I45" s="61">
        <f t="shared" ref="I45:AK45" si="7">$G$12*$G$18*$M$13*(1+$M$16)^H39*12</f>
        <v>553499.99999999988</v>
      </c>
      <c r="J45" s="61">
        <f t="shared" si="7"/>
        <v>567337.5</v>
      </c>
      <c r="K45" s="61">
        <f t="shared" si="7"/>
        <v>581520.93749999988</v>
      </c>
      <c r="L45" s="61">
        <f t="shared" si="7"/>
        <v>596058.96093749988</v>
      </c>
      <c r="M45" s="61">
        <f t="shared" si="7"/>
        <v>610960.43496093724</v>
      </c>
      <c r="N45" s="61">
        <f t="shared" si="7"/>
        <v>626234.44583496067</v>
      </c>
      <c r="O45" s="61">
        <f t="shared" si="7"/>
        <v>641890.30698083481</v>
      </c>
      <c r="P45" s="61">
        <f t="shared" si="7"/>
        <v>657937.56465535553</v>
      </c>
      <c r="Q45" s="61">
        <f t="shared" si="7"/>
        <v>674386.00377173931</v>
      </c>
      <c r="R45" s="61">
        <f t="shared" si="7"/>
        <v>691245.65386603284</v>
      </c>
      <c r="S45" s="61">
        <f t="shared" si="7"/>
        <v>708526.79521268362</v>
      </c>
      <c r="T45" s="227">
        <f t="shared" si="7"/>
        <v>726239.96509300068</v>
      </c>
      <c r="U45" s="61">
        <f t="shared" si="7"/>
        <v>744395.96422032558</v>
      </c>
      <c r="V45" s="61">
        <f t="shared" si="7"/>
        <v>763005.86332583369</v>
      </c>
      <c r="W45" s="61">
        <f t="shared" si="7"/>
        <v>782081.00990897964</v>
      </c>
      <c r="X45" s="61">
        <f t="shared" si="7"/>
        <v>801633.03515670402</v>
      </c>
      <c r="Y45" s="61">
        <f t="shared" si="7"/>
        <v>821673.86103562149</v>
      </c>
      <c r="Z45" s="61">
        <f t="shared" si="7"/>
        <v>842215.70756151213</v>
      </c>
      <c r="AA45" s="61">
        <f t="shared" si="7"/>
        <v>863271.10025054985</v>
      </c>
      <c r="AB45" s="61">
        <f t="shared" si="7"/>
        <v>884852.87775681366</v>
      </c>
      <c r="AC45" s="61">
        <f t="shared" si="7"/>
        <v>906974.19970073376</v>
      </c>
      <c r="AD45" s="61">
        <f t="shared" si="7"/>
        <v>929648.55469325208</v>
      </c>
      <c r="AE45" s="61">
        <f t="shared" si="7"/>
        <v>952889.76856058347</v>
      </c>
      <c r="AF45" s="61">
        <f t="shared" si="7"/>
        <v>976712.01277459797</v>
      </c>
      <c r="AG45" s="61">
        <f t="shared" si="7"/>
        <v>1001129.8130939628</v>
      </c>
      <c r="AH45" s="61">
        <f t="shared" si="7"/>
        <v>1026158.0584213118</v>
      </c>
      <c r="AI45" s="61">
        <f t="shared" si="7"/>
        <v>1051812.0098818445</v>
      </c>
      <c r="AJ45" s="61">
        <f t="shared" si="7"/>
        <v>1078107.3101288907</v>
      </c>
      <c r="AK45" s="61">
        <f t="shared" si="7"/>
        <v>1105059.992882113</v>
      </c>
    </row>
    <row r="46" spans="1:37">
      <c r="B46" s="58" t="s">
        <v>517</v>
      </c>
      <c r="G46" s="61"/>
      <c r="H46" s="61">
        <f>SUM(G36:R36)</f>
        <v>702525</v>
      </c>
      <c r="I46" s="61">
        <f t="shared" ref="I46:AK46" si="8">$G$12*$G$19*$M$14*(1+$M$16)^H39*12</f>
        <v>784124.99999999988</v>
      </c>
      <c r="J46" s="61">
        <f t="shared" si="8"/>
        <v>803728.125</v>
      </c>
      <c r="K46" s="61">
        <f t="shared" si="8"/>
        <v>823821.32812499977</v>
      </c>
      <c r="L46" s="61">
        <f t="shared" si="8"/>
        <v>844416.86132812477</v>
      </c>
      <c r="M46" s="61">
        <f t="shared" si="8"/>
        <v>865527.28286132775</v>
      </c>
      <c r="N46" s="61">
        <f t="shared" si="8"/>
        <v>887165.46493286092</v>
      </c>
      <c r="O46" s="61">
        <f t="shared" si="8"/>
        <v>909344.60155618249</v>
      </c>
      <c r="P46" s="61">
        <f t="shared" si="8"/>
        <v>932078.21659508697</v>
      </c>
      <c r="Q46" s="61">
        <f t="shared" si="8"/>
        <v>955380.17200996401</v>
      </c>
      <c r="R46" s="61">
        <f t="shared" si="8"/>
        <v>979264.67631021328</v>
      </c>
      <c r="S46" s="61">
        <f t="shared" si="8"/>
        <v>1003746.2932179684</v>
      </c>
      <c r="T46" s="227">
        <f t="shared" si="8"/>
        <v>1028839.9505484175</v>
      </c>
      <c r="U46" s="61">
        <f t="shared" si="8"/>
        <v>1054560.9493121281</v>
      </c>
      <c r="V46" s="61">
        <f t="shared" si="8"/>
        <v>1080924.973044931</v>
      </c>
      <c r="W46" s="61">
        <f t="shared" si="8"/>
        <v>1107948.0973710543</v>
      </c>
      <c r="X46" s="61">
        <f t="shared" si="8"/>
        <v>1135646.7998053308</v>
      </c>
      <c r="Y46" s="61">
        <f t="shared" si="8"/>
        <v>1164037.9698004639</v>
      </c>
      <c r="Z46" s="61">
        <f t="shared" si="8"/>
        <v>1193138.9190454755</v>
      </c>
      <c r="AA46" s="61">
        <f t="shared" si="8"/>
        <v>1222967.3920216125</v>
      </c>
      <c r="AB46" s="61">
        <f t="shared" si="8"/>
        <v>1253541.5768221526</v>
      </c>
      <c r="AC46" s="61">
        <f t="shared" si="8"/>
        <v>1284880.1162427063</v>
      </c>
      <c r="AD46" s="61">
        <f t="shared" si="8"/>
        <v>1317002.1191487738</v>
      </c>
      <c r="AE46" s="61">
        <f t="shared" si="8"/>
        <v>1349927.1721274932</v>
      </c>
      <c r="AF46" s="61">
        <f t="shared" si="8"/>
        <v>1383675.3514306806</v>
      </c>
      <c r="AG46" s="61">
        <f t="shared" si="8"/>
        <v>1418267.2352164472</v>
      </c>
      <c r="AH46" s="61">
        <f t="shared" si="8"/>
        <v>1453723.9160968584</v>
      </c>
      <c r="AI46" s="61">
        <f t="shared" si="8"/>
        <v>1490067.0139992798</v>
      </c>
      <c r="AJ46" s="61">
        <f t="shared" si="8"/>
        <v>1527318.6893492616</v>
      </c>
      <c r="AK46" s="61">
        <f t="shared" si="8"/>
        <v>1565501.6565829935</v>
      </c>
    </row>
    <row r="47" spans="1:37">
      <c r="B47" s="79" t="s">
        <v>518</v>
      </c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227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</row>
    <row r="48" spans="1:37">
      <c r="B48" s="58" t="s">
        <v>519</v>
      </c>
      <c r="G48" s="61"/>
      <c r="H48" s="61">
        <f t="shared" ref="H48:AK48" si="9">$G$20*$M$23*(1+$M$16)^G39</f>
        <v>96000</v>
      </c>
      <c r="I48" s="61">
        <f t="shared" si="9"/>
        <v>98399.999999999985</v>
      </c>
      <c r="J48" s="61">
        <f t="shared" si="9"/>
        <v>100859.99999999999</v>
      </c>
      <c r="K48" s="61">
        <f t="shared" si="9"/>
        <v>103381.49999999999</v>
      </c>
      <c r="L48" s="61">
        <f t="shared" si="9"/>
        <v>105966.03749999998</v>
      </c>
      <c r="M48" s="61">
        <f t="shared" si="9"/>
        <v>108615.18843749996</v>
      </c>
      <c r="N48" s="61">
        <f t="shared" si="9"/>
        <v>111330.56814843745</v>
      </c>
      <c r="O48" s="61">
        <f t="shared" si="9"/>
        <v>114113.8323521484</v>
      </c>
      <c r="P48" s="61">
        <f t="shared" si="9"/>
        <v>116966.6781609521</v>
      </c>
      <c r="Q48" s="61">
        <f t="shared" si="9"/>
        <v>119890.84511497588</v>
      </c>
      <c r="R48" s="61">
        <f t="shared" si="9"/>
        <v>122888.11624285029</v>
      </c>
      <c r="S48" s="61">
        <f t="shared" si="9"/>
        <v>125960.31914892154</v>
      </c>
      <c r="T48" s="227">
        <f t="shared" si="9"/>
        <v>129109.32712764456</v>
      </c>
      <c r="U48" s="61">
        <f t="shared" si="9"/>
        <v>132337.06030583568</v>
      </c>
      <c r="V48" s="61">
        <f t="shared" si="9"/>
        <v>135645.48681348155</v>
      </c>
      <c r="W48" s="61">
        <f t="shared" si="9"/>
        <v>139036.6239838186</v>
      </c>
      <c r="X48" s="61">
        <f t="shared" si="9"/>
        <v>142512.53958341407</v>
      </c>
      <c r="Y48" s="61">
        <f t="shared" si="9"/>
        <v>146075.35307299939</v>
      </c>
      <c r="Z48" s="61">
        <f t="shared" si="9"/>
        <v>149727.23689982438</v>
      </c>
      <c r="AA48" s="61">
        <f t="shared" si="9"/>
        <v>153470.41782231999</v>
      </c>
      <c r="AB48" s="61">
        <f t="shared" si="9"/>
        <v>157307.17826787799</v>
      </c>
      <c r="AC48" s="61">
        <f t="shared" si="9"/>
        <v>161239.85772457492</v>
      </c>
      <c r="AD48" s="61">
        <f t="shared" si="9"/>
        <v>165270.85416768928</v>
      </c>
      <c r="AE48" s="61">
        <f t="shared" si="9"/>
        <v>169402.62552188151</v>
      </c>
      <c r="AF48" s="61">
        <f t="shared" si="9"/>
        <v>173637.69115992854</v>
      </c>
      <c r="AG48" s="61">
        <f t="shared" si="9"/>
        <v>177978.63343892671</v>
      </c>
      <c r="AH48" s="61">
        <f t="shared" si="9"/>
        <v>182428.09927489987</v>
      </c>
      <c r="AI48" s="61">
        <f t="shared" si="9"/>
        <v>186988.80175677236</v>
      </c>
      <c r="AJ48" s="61">
        <f t="shared" si="9"/>
        <v>191663.52180069167</v>
      </c>
      <c r="AK48" s="61">
        <f t="shared" si="9"/>
        <v>196455.10984570897</v>
      </c>
    </row>
    <row r="49" spans="2:37">
      <c r="B49" s="76" t="s">
        <v>520</v>
      </c>
      <c r="C49" s="76"/>
      <c r="D49" s="76"/>
      <c r="E49" s="76"/>
      <c r="F49" s="76"/>
      <c r="G49" s="77"/>
      <c r="H49" s="77">
        <f t="shared" ref="H49:AK49" si="10">SUM(H43:H48)</f>
        <v>1294425</v>
      </c>
      <c r="I49" s="77">
        <f t="shared" si="10"/>
        <v>1436024.9999999998</v>
      </c>
      <c r="J49" s="77">
        <f t="shared" si="10"/>
        <v>1471925.625</v>
      </c>
      <c r="K49" s="77">
        <f t="shared" si="10"/>
        <v>1508723.7656249995</v>
      </c>
      <c r="L49" s="77">
        <f t="shared" si="10"/>
        <v>1546441.8597656246</v>
      </c>
      <c r="M49" s="77">
        <f t="shared" si="10"/>
        <v>1585102.9062597649</v>
      </c>
      <c r="N49" s="77">
        <f t="shared" si="10"/>
        <v>1624730.478916259</v>
      </c>
      <c r="O49" s="77">
        <f t="shared" si="10"/>
        <v>1665348.7408891656</v>
      </c>
      <c r="P49" s="77">
        <f t="shared" si="10"/>
        <v>1706982.4594113945</v>
      </c>
      <c r="Q49" s="77">
        <f t="shared" si="10"/>
        <v>1749657.0208966793</v>
      </c>
      <c r="R49" s="77">
        <f t="shared" si="10"/>
        <v>1793398.4464190963</v>
      </c>
      <c r="S49" s="77">
        <f t="shared" si="10"/>
        <v>1838233.4075795736</v>
      </c>
      <c r="T49" s="228">
        <f t="shared" si="10"/>
        <v>1884189.2427690628</v>
      </c>
      <c r="U49" s="77">
        <f t="shared" si="10"/>
        <v>1931293.9738382893</v>
      </c>
      <c r="V49" s="77">
        <f t="shared" si="10"/>
        <v>1979576.3231842462</v>
      </c>
      <c r="W49" s="77">
        <f t="shared" si="10"/>
        <v>2029065.7312638527</v>
      </c>
      <c r="X49" s="77">
        <f t="shared" si="10"/>
        <v>2079792.3745454489</v>
      </c>
      <c r="Y49" s="77">
        <f t="shared" si="10"/>
        <v>2131787.1839090846</v>
      </c>
      <c r="Z49" s="77">
        <f t="shared" si="10"/>
        <v>2185081.8635068121</v>
      </c>
      <c r="AA49" s="77">
        <f t="shared" si="10"/>
        <v>2239708.9100944824</v>
      </c>
      <c r="AB49" s="77">
        <f t="shared" si="10"/>
        <v>2295701.6328468444</v>
      </c>
      <c r="AC49" s="77">
        <f t="shared" si="10"/>
        <v>2353094.1736680148</v>
      </c>
      <c r="AD49" s="77">
        <f t="shared" si="10"/>
        <v>2411921.528009715</v>
      </c>
      <c r="AE49" s="77">
        <f t="shared" si="10"/>
        <v>2472219.5662099579</v>
      </c>
      <c r="AF49" s="77">
        <f t="shared" si="10"/>
        <v>2534025.0553652071</v>
      </c>
      <c r="AG49" s="77">
        <f t="shared" si="10"/>
        <v>2597375.6817493369</v>
      </c>
      <c r="AH49" s="77">
        <f t="shared" si="10"/>
        <v>2662310.0737930699</v>
      </c>
      <c r="AI49" s="77">
        <f t="shared" si="10"/>
        <v>2728867.8256378965</v>
      </c>
      <c r="AJ49" s="77">
        <f t="shared" si="10"/>
        <v>2797089.5212788437</v>
      </c>
      <c r="AK49" s="77">
        <f t="shared" si="10"/>
        <v>2867016.7593108155</v>
      </c>
    </row>
    <row r="50" spans="2:37"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227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</row>
    <row r="51" spans="2:37">
      <c r="B51" s="70" t="s">
        <v>521</v>
      </c>
      <c r="C51" s="70"/>
      <c r="D51" s="70"/>
      <c r="E51" s="70"/>
      <c r="F51" s="70"/>
      <c r="G51" s="70"/>
      <c r="H51" s="72">
        <f t="shared" ref="H51:AK51" si="11">-(1-H40)*SUM(H45:H46)</f>
        <v>-23968.500000000022</v>
      </c>
      <c r="I51" s="72">
        <f t="shared" si="11"/>
        <v>-26752.500000000018</v>
      </c>
      <c r="J51" s="72">
        <f t="shared" si="11"/>
        <v>-27421.312500000025</v>
      </c>
      <c r="K51" s="72">
        <f t="shared" si="11"/>
        <v>-28106.845312500016</v>
      </c>
      <c r="L51" s="72">
        <f t="shared" si="11"/>
        <v>-28809.516445312518</v>
      </c>
      <c r="M51" s="72">
        <f t="shared" si="11"/>
        <v>-29529.754356445323</v>
      </c>
      <c r="N51" s="72">
        <f t="shared" si="11"/>
        <v>-30267.99821535646</v>
      </c>
      <c r="O51" s="72">
        <f t="shared" si="11"/>
        <v>-31024.698170740372</v>
      </c>
      <c r="P51" s="72">
        <f t="shared" si="11"/>
        <v>-31800.315625008876</v>
      </c>
      <c r="Q51" s="72">
        <f t="shared" si="11"/>
        <v>-32595.323515634096</v>
      </c>
      <c r="R51" s="72">
        <f t="shared" si="11"/>
        <v>-33410.206603524952</v>
      </c>
      <c r="S51" s="72">
        <f t="shared" si="11"/>
        <v>-34245.461768613066</v>
      </c>
      <c r="T51" s="229">
        <f t="shared" si="11"/>
        <v>-35101.598312828391</v>
      </c>
      <c r="U51" s="72">
        <f t="shared" si="11"/>
        <v>-35979.138270649106</v>
      </c>
      <c r="V51" s="72">
        <f t="shared" si="11"/>
        <v>-36878.616727415327</v>
      </c>
      <c r="W51" s="72">
        <f t="shared" si="11"/>
        <v>-37800.582145600718</v>
      </c>
      <c r="X51" s="72">
        <f t="shared" si="11"/>
        <v>-38745.596699240734</v>
      </c>
      <c r="Y51" s="72">
        <f t="shared" si="11"/>
        <v>-39714.236616721741</v>
      </c>
      <c r="Z51" s="72">
        <f t="shared" si="11"/>
        <v>-40707.092532139795</v>
      </c>
      <c r="AA51" s="72">
        <f t="shared" si="11"/>
        <v>-41724.769845443283</v>
      </c>
      <c r="AB51" s="72">
        <f t="shared" si="11"/>
        <v>-42767.889091579367</v>
      </c>
      <c r="AC51" s="72">
        <f t="shared" si="11"/>
        <v>-43837.086318868838</v>
      </c>
      <c r="AD51" s="72">
        <f t="shared" si="11"/>
        <v>-44933.013476840555</v>
      </c>
      <c r="AE51" s="72">
        <f t="shared" si="11"/>
        <v>-46056.338813761569</v>
      </c>
      <c r="AF51" s="72">
        <f t="shared" si="11"/>
        <v>-47207.747284105608</v>
      </c>
      <c r="AG51" s="72">
        <f t="shared" si="11"/>
        <v>-48387.940966208247</v>
      </c>
      <c r="AH51" s="72">
        <f t="shared" si="11"/>
        <v>-49597.639490363443</v>
      </c>
      <c r="AI51" s="72">
        <f t="shared" si="11"/>
        <v>-50837.580477622534</v>
      </c>
      <c r="AJ51" s="72">
        <f t="shared" si="11"/>
        <v>-52108.519989563087</v>
      </c>
      <c r="AK51" s="72">
        <f t="shared" si="11"/>
        <v>-53411.232989302174</v>
      </c>
    </row>
    <row r="52" spans="2:37">
      <c r="B52" s="58" t="s">
        <v>522</v>
      </c>
      <c r="H52" s="61">
        <f>SUM(H49:H51)</f>
        <v>1270456.5</v>
      </c>
      <c r="I52" s="61">
        <f t="shared" ref="I52:AK52" si="12">SUM(I49:I51)</f>
        <v>1409272.4999999998</v>
      </c>
      <c r="J52" s="61">
        <f t="shared" si="12"/>
        <v>1444504.3125</v>
      </c>
      <c r="K52" s="61">
        <f t="shared" si="12"/>
        <v>1480616.9203124996</v>
      </c>
      <c r="L52" s="61">
        <f t="shared" si="12"/>
        <v>1517632.3433203122</v>
      </c>
      <c r="M52" s="61">
        <f t="shared" si="12"/>
        <v>1555573.1519033196</v>
      </c>
      <c r="N52" s="61">
        <f t="shared" si="12"/>
        <v>1594462.4807009026</v>
      </c>
      <c r="O52" s="61">
        <f t="shared" si="12"/>
        <v>1634324.0427184252</v>
      </c>
      <c r="P52" s="61">
        <f t="shared" si="12"/>
        <v>1675182.1437863857</v>
      </c>
      <c r="Q52" s="61">
        <f t="shared" si="12"/>
        <v>1717061.6973810452</v>
      </c>
      <c r="R52" s="61">
        <f t="shared" si="12"/>
        <v>1759988.2398155713</v>
      </c>
      <c r="S52" s="61">
        <f t="shared" si="12"/>
        <v>1803987.9458109606</v>
      </c>
      <c r="T52" s="227">
        <f t="shared" si="12"/>
        <v>1849087.6444562343</v>
      </c>
      <c r="U52" s="61">
        <f t="shared" si="12"/>
        <v>1895314.8355676401</v>
      </c>
      <c r="V52" s="61">
        <f t="shared" si="12"/>
        <v>1942697.706456831</v>
      </c>
      <c r="W52" s="61">
        <f t="shared" si="12"/>
        <v>1991265.1491182519</v>
      </c>
      <c r="X52" s="61">
        <f t="shared" si="12"/>
        <v>2041046.7778462083</v>
      </c>
      <c r="Y52" s="61">
        <f t="shared" si="12"/>
        <v>2092072.9472923628</v>
      </c>
      <c r="Z52" s="61">
        <f t="shared" si="12"/>
        <v>2144374.7709746724</v>
      </c>
      <c r="AA52" s="61">
        <f t="shared" si="12"/>
        <v>2197984.140249039</v>
      </c>
      <c r="AB52" s="61">
        <f t="shared" si="12"/>
        <v>2252933.7437552651</v>
      </c>
      <c r="AC52" s="61">
        <f t="shared" si="12"/>
        <v>2309257.0873491461</v>
      </c>
      <c r="AD52" s="61">
        <f t="shared" si="12"/>
        <v>2366988.5145328743</v>
      </c>
      <c r="AE52" s="61">
        <f t="shared" si="12"/>
        <v>2426163.2273961962</v>
      </c>
      <c r="AF52" s="61">
        <f t="shared" si="12"/>
        <v>2486817.3080811016</v>
      </c>
      <c r="AG52" s="61">
        <f t="shared" si="12"/>
        <v>2548987.7407831284</v>
      </c>
      <c r="AH52" s="61">
        <f t="shared" si="12"/>
        <v>2612712.4343027063</v>
      </c>
      <c r="AI52" s="61">
        <f t="shared" si="12"/>
        <v>2678030.2451602742</v>
      </c>
      <c r="AJ52" s="61">
        <f t="shared" si="12"/>
        <v>2744981.0012892806</v>
      </c>
      <c r="AK52" s="61">
        <f t="shared" si="12"/>
        <v>2813605.5263215131</v>
      </c>
    </row>
    <row r="54" spans="2:37">
      <c r="B54" s="58" t="s">
        <v>413</v>
      </c>
      <c r="H54" s="61">
        <f t="shared" ref="H54:AK54" si="13">-($M$19*H52)*(1+$M$20)^G39</f>
        <v>-381136.95</v>
      </c>
      <c r="I54" s="61">
        <f t="shared" si="13"/>
        <v>-433351.2937499999</v>
      </c>
      <c r="J54" s="61">
        <f t="shared" si="13"/>
        <v>-455289.70299609372</v>
      </c>
      <c r="K54" s="61">
        <f t="shared" si="13"/>
        <v>-478338.74421027082</v>
      </c>
      <c r="L54" s="61">
        <f t="shared" si="13"/>
        <v>-502554.64313591574</v>
      </c>
      <c r="M54" s="61">
        <f t="shared" si="13"/>
        <v>-527996.47194467124</v>
      </c>
      <c r="N54" s="61">
        <f t="shared" si="13"/>
        <v>-554726.29333687027</v>
      </c>
      <c r="O54" s="61">
        <f t="shared" si="13"/>
        <v>-582809.31193704926</v>
      </c>
      <c r="P54" s="61">
        <f t="shared" si="13"/>
        <v>-612314.03335386235</v>
      </c>
      <c r="Q54" s="61">
        <f t="shared" si="13"/>
        <v>-643312.43129240151</v>
      </c>
      <c r="R54" s="61">
        <f t="shared" si="13"/>
        <v>-675880.12312657933</v>
      </c>
      <c r="S54" s="61">
        <f t="shared" si="13"/>
        <v>-710096.55435986235</v>
      </c>
      <c r="T54" s="227">
        <f t="shared" si="13"/>
        <v>-746045.19242433016</v>
      </c>
      <c r="U54" s="61">
        <f t="shared" si="13"/>
        <v>-783813.73029081186</v>
      </c>
      <c r="V54" s="61">
        <f t="shared" si="13"/>
        <v>-823494.30038678402</v>
      </c>
      <c r="W54" s="61">
        <f t="shared" si="13"/>
        <v>-865183.69934386527</v>
      </c>
      <c r="X54" s="61">
        <f t="shared" si="13"/>
        <v>-908983.62412314839</v>
      </c>
      <c r="Y54" s="61">
        <f t="shared" si="13"/>
        <v>-955000.92009438237</v>
      </c>
      <c r="Z54" s="61">
        <f t="shared" si="13"/>
        <v>-1003347.8416741608</v>
      </c>
      <c r="AA54" s="61">
        <f t="shared" si="13"/>
        <v>-1054142.3261589149</v>
      </c>
      <c r="AB54" s="61">
        <f t="shared" si="13"/>
        <v>-1107508.28142071</v>
      </c>
      <c r="AC54" s="61">
        <f t="shared" si="13"/>
        <v>-1163575.888167633</v>
      </c>
      <c r="AD54" s="61">
        <f t="shared" si="13"/>
        <v>-1222481.917506119</v>
      </c>
      <c r="AE54" s="61">
        <f t="shared" si="13"/>
        <v>-1284370.0645798664</v>
      </c>
      <c r="AF54" s="61">
        <f t="shared" si="13"/>
        <v>-1349391.2990992225</v>
      </c>
      <c r="AG54" s="61">
        <f t="shared" si="13"/>
        <v>-1417704.2336161199</v>
      </c>
      <c r="AH54" s="61">
        <f t="shared" si="13"/>
        <v>-1489475.5104429356</v>
      </c>
      <c r="AI54" s="61">
        <f t="shared" si="13"/>
        <v>-1564880.2081591093</v>
      </c>
      <c r="AJ54" s="61">
        <f t="shared" si="13"/>
        <v>-1644102.2686971638</v>
      </c>
      <c r="AK54" s="61">
        <f t="shared" si="13"/>
        <v>-1727334.9460499582</v>
      </c>
    </row>
    <row r="55" spans="2:37">
      <c r="B55" s="58" t="s">
        <v>728</v>
      </c>
      <c r="H55" s="61">
        <f>-(H49*$M$21)*(1+$M$20)^G39</f>
        <v>-51777</v>
      </c>
      <c r="I55" s="61">
        <f t="shared" ref="I55:AK55" si="14">-(I49*$M$21)*(1+$M$20)^H39</f>
        <v>-58877.024999999987</v>
      </c>
      <c r="J55" s="61">
        <f t="shared" si="14"/>
        <v>-61857.674390624998</v>
      </c>
      <c r="K55" s="61">
        <f t="shared" si="14"/>
        <v>-64989.219156650368</v>
      </c>
      <c r="L55" s="61">
        <f t="shared" si="14"/>
        <v>-68279.298376455787</v>
      </c>
      <c r="M55" s="61">
        <f t="shared" si="14"/>
        <v>-71735.937856763849</v>
      </c>
      <c r="N55" s="61">
        <f t="shared" si="14"/>
        <v>-75367.569710762502</v>
      </c>
      <c r="O55" s="61">
        <f t="shared" si="14"/>
        <v>-79183.052927369863</v>
      </c>
      <c r="P55" s="61">
        <f t="shared" si="14"/>
        <v>-83191.694981817956</v>
      </c>
      <c r="Q55" s="61">
        <f t="shared" si="14"/>
        <v>-87403.274540272469</v>
      </c>
      <c r="R55" s="61">
        <f t="shared" si="14"/>
        <v>-91828.065313873754</v>
      </c>
      <c r="S55" s="61">
        <f t="shared" si="14"/>
        <v>-96476.86112038861</v>
      </c>
      <c r="T55" s="61">
        <f t="shared" si="14"/>
        <v>-101361.00221460826</v>
      </c>
      <c r="U55" s="61">
        <f t="shared" si="14"/>
        <v>-106492.4029517228</v>
      </c>
      <c r="V55" s="61">
        <f t="shared" si="14"/>
        <v>-111883.58085115373</v>
      </c>
      <c r="W55" s="61">
        <f t="shared" si="14"/>
        <v>-117547.68713174343</v>
      </c>
      <c r="X55" s="61">
        <f t="shared" si="14"/>
        <v>-123498.53879278792</v>
      </c>
      <c r="Y55" s="61">
        <f t="shared" si="14"/>
        <v>-129750.65231917276</v>
      </c>
      <c r="Z55" s="61">
        <f t="shared" si="14"/>
        <v>-136319.2790928309</v>
      </c>
      <c r="AA55" s="61">
        <f t="shared" si="14"/>
        <v>-143220.44259690549</v>
      </c>
      <c r="AB55" s="61">
        <f t="shared" si="14"/>
        <v>-150470.97750337381</v>
      </c>
      <c r="AC55" s="61">
        <f t="shared" si="14"/>
        <v>-158088.57073948203</v>
      </c>
      <c r="AD55" s="61">
        <f t="shared" si="14"/>
        <v>-166091.80463316827</v>
      </c>
      <c r="AE55" s="61">
        <f t="shared" si="14"/>
        <v>-174500.20224272244</v>
      </c>
      <c r="AF55" s="61">
        <f t="shared" si="14"/>
        <v>-183334.27498126027</v>
      </c>
      <c r="AG55" s="61">
        <f t="shared" si="14"/>
        <v>-192615.5726521865</v>
      </c>
      <c r="AH55" s="61">
        <f t="shared" si="14"/>
        <v>-202366.73601770343</v>
      </c>
      <c r="AI55" s="61">
        <f t="shared" si="14"/>
        <v>-212611.55202859963</v>
      </c>
      <c r="AJ55" s="61">
        <f t="shared" si="14"/>
        <v>-223375.01185004745</v>
      </c>
      <c r="AK55" s="61">
        <f t="shared" si="14"/>
        <v>-234683.37182495618</v>
      </c>
    </row>
    <row r="56" spans="2:37">
      <c r="B56" s="58" t="s">
        <v>523</v>
      </c>
      <c r="H56" s="61">
        <f t="shared" ref="H56:AK56" si="15">-H52*$M$22</f>
        <v>-25409.13</v>
      </c>
      <c r="I56" s="61">
        <f t="shared" si="15"/>
        <v>-28185.449999999997</v>
      </c>
      <c r="J56" s="61">
        <f t="shared" si="15"/>
        <v>-28890.08625</v>
      </c>
      <c r="K56" s="61">
        <f t="shared" si="15"/>
        <v>-29612.338406249994</v>
      </c>
      <c r="L56" s="61">
        <f t="shared" si="15"/>
        <v>-30352.646866406245</v>
      </c>
      <c r="M56" s="61">
        <f t="shared" si="15"/>
        <v>-31111.463038066395</v>
      </c>
      <c r="N56" s="61">
        <f t="shared" si="15"/>
        <v>-31889.249614018052</v>
      </c>
      <c r="O56" s="61">
        <f t="shared" si="15"/>
        <v>-32686.480854368503</v>
      </c>
      <c r="P56" s="61">
        <f t="shared" si="15"/>
        <v>-33503.642875727717</v>
      </c>
      <c r="Q56" s="61">
        <f t="shared" si="15"/>
        <v>-34341.233947620902</v>
      </c>
      <c r="R56" s="61">
        <f t="shared" si="15"/>
        <v>-35199.764796311429</v>
      </c>
      <c r="S56" s="61">
        <f t="shared" si="15"/>
        <v>-36079.758916219216</v>
      </c>
      <c r="T56" s="227">
        <f t="shared" si="15"/>
        <v>-36981.752889124684</v>
      </c>
      <c r="U56" s="61">
        <f t="shared" si="15"/>
        <v>-37906.296711352807</v>
      </c>
      <c r="V56" s="61">
        <f t="shared" si="15"/>
        <v>-38853.954129136619</v>
      </c>
      <c r="W56" s="61">
        <f t="shared" si="15"/>
        <v>-39825.302982365036</v>
      </c>
      <c r="X56" s="61">
        <f t="shared" si="15"/>
        <v>-40820.935556924167</v>
      </c>
      <c r="Y56" s="61">
        <f t="shared" si="15"/>
        <v>-41841.458945847255</v>
      </c>
      <c r="Z56" s="61">
        <f t="shared" si="15"/>
        <v>-42887.495419493447</v>
      </c>
      <c r="AA56" s="61">
        <f t="shared" si="15"/>
        <v>-43959.682804980781</v>
      </c>
      <c r="AB56" s="61">
        <f t="shared" si="15"/>
        <v>-45058.674875105302</v>
      </c>
      <c r="AC56" s="61">
        <f t="shared" si="15"/>
        <v>-46185.141746982925</v>
      </c>
      <c r="AD56" s="61">
        <f t="shared" si="15"/>
        <v>-47339.770290657485</v>
      </c>
      <c r="AE56" s="61">
        <f t="shared" si="15"/>
        <v>-48523.264547923922</v>
      </c>
      <c r="AF56" s="61">
        <f t="shared" si="15"/>
        <v>-49736.34616162203</v>
      </c>
      <c r="AG56" s="61">
        <f t="shared" si="15"/>
        <v>-50979.754815662571</v>
      </c>
      <c r="AH56" s="61">
        <f t="shared" si="15"/>
        <v>-52254.248686054125</v>
      </c>
      <c r="AI56" s="61">
        <f t="shared" si="15"/>
        <v>-53560.604903205487</v>
      </c>
      <c r="AJ56" s="61">
        <f t="shared" si="15"/>
        <v>-54899.620025785611</v>
      </c>
      <c r="AK56" s="61">
        <f t="shared" si="15"/>
        <v>-56272.110526430261</v>
      </c>
    </row>
    <row r="57" spans="2:37">
      <c r="B57" s="76" t="s">
        <v>524</v>
      </c>
      <c r="C57" s="76"/>
      <c r="D57" s="76"/>
      <c r="E57" s="76"/>
      <c r="F57" s="76"/>
      <c r="G57" s="76"/>
      <c r="H57" s="77">
        <f t="shared" ref="H57:R57" si="16">SUM(H52:H56)</f>
        <v>812133.42</v>
      </c>
      <c r="I57" s="77">
        <f t="shared" si="16"/>
        <v>888858.73124999984</v>
      </c>
      <c r="J57" s="77">
        <f t="shared" si="16"/>
        <v>898466.84886328119</v>
      </c>
      <c r="K57" s="77">
        <f t="shared" si="16"/>
        <v>907676.61853932845</v>
      </c>
      <c r="L57" s="77">
        <f t="shared" si="16"/>
        <v>916445.75494153448</v>
      </c>
      <c r="M57" s="77">
        <f t="shared" si="16"/>
        <v>924729.27906381816</v>
      </c>
      <c r="N57" s="77">
        <f t="shared" si="16"/>
        <v>932479.36803925189</v>
      </c>
      <c r="O57" s="77">
        <f t="shared" si="16"/>
        <v>939645.19699963753</v>
      </c>
      <c r="P57" s="77">
        <f t="shared" si="16"/>
        <v>946172.7725749776</v>
      </c>
      <c r="Q57" s="77">
        <f t="shared" si="16"/>
        <v>952004.75760075031</v>
      </c>
      <c r="R57" s="77">
        <f t="shared" si="16"/>
        <v>957080.2865788067</v>
      </c>
      <c r="S57" s="77">
        <f t="shared" ref="S57:AK57" si="17">SUM(S52:S56)</f>
        <v>961334.77141449042</v>
      </c>
      <c r="T57" s="228">
        <f t="shared" si="17"/>
        <v>964699.69692817121</v>
      </c>
      <c r="U57" s="77">
        <f t="shared" si="17"/>
        <v>967102.40561375255</v>
      </c>
      <c r="V57" s="77">
        <f t="shared" si="17"/>
        <v>968465.87108975672</v>
      </c>
      <c r="W57" s="77">
        <f t="shared" si="17"/>
        <v>968708.45966027817</v>
      </c>
      <c r="X57" s="77">
        <f t="shared" si="17"/>
        <v>967743.67937334778</v>
      </c>
      <c r="Y57" s="77">
        <f t="shared" si="17"/>
        <v>965479.91593296034</v>
      </c>
      <c r="Z57" s="77">
        <f t="shared" si="17"/>
        <v>961820.15478818747</v>
      </c>
      <c r="AA57" s="77">
        <f t="shared" si="17"/>
        <v>956661.6886882378</v>
      </c>
      <c r="AB57" s="77">
        <f t="shared" si="17"/>
        <v>949895.80995607609</v>
      </c>
      <c r="AC57" s="77">
        <f t="shared" si="17"/>
        <v>941407.48669504817</v>
      </c>
      <c r="AD57" s="77">
        <f t="shared" si="17"/>
        <v>931075.02210292954</v>
      </c>
      <c r="AE57" s="77">
        <f t="shared" si="17"/>
        <v>918769.69602568343</v>
      </c>
      <c r="AF57" s="77">
        <f t="shared" si="17"/>
        <v>904355.38783899671</v>
      </c>
      <c r="AG57" s="77">
        <f t="shared" si="17"/>
        <v>887688.17969915946</v>
      </c>
      <c r="AH57" s="77">
        <f t="shared" si="17"/>
        <v>868615.93915601308</v>
      </c>
      <c r="AI57" s="77">
        <f t="shared" si="17"/>
        <v>846977.88006935967</v>
      </c>
      <c r="AJ57" s="77">
        <f t="shared" si="17"/>
        <v>822604.10071628378</v>
      </c>
      <c r="AK57" s="77">
        <f t="shared" si="17"/>
        <v>795315.09792016842</v>
      </c>
    </row>
    <row r="59" spans="2:37">
      <c r="B59" s="58" t="s">
        <v>525</v>
      </c>
      <c r="H59" s="61">
        <f t="shared" ref="H59:AK59" si="18">IF(H39=$M$25,I57/$M$27,0)</f>
        <v>0</v>
      </c>
      <c r="I59" s="61">
        <f t="shared" si="18"/>
        <v>0</v>
      </c>
      <c r="J59" s="61">
        <f t="shared" si="18"/>
        <v>0</v>
      </c>
      <c r="K59" s="61">
        <f t="shared" si="18"/>
        <v>0</v>
      </c>
      <c r="L59" s="61">
        <f t="shared" si="18"/>
        <v>0</v>
      </c>
      <c r="M59" s="61">
        <f t="shared" si="18"/>
        <v>0</v>
      </c>
      <c r="N59" s="61">
        <f t="shared" si="18"/>
        <v>0</v>
      </c>
      <c r="O59" s="61">
        <f t="shared" si="18"/>
        <v>0</v>
      </c>
      <c r="P59" s="61">
        <f t="shared" si="18"/>
        <v>0</v>
      </c>
      <c r="Q59" s="61">
        <f t="shared" si="18"/>
        <v>17090719.403192975</v>
      </c>
      <c r="R59" s="61">
        <f t="shared" si="18"/>
        <v>0</v>
      </c>
      <c r="S59" s="61">
        <f t="shared" si="18"/>
        <v>0</v>
      </c>
      <c r="T59" s="227">
        <f t="shared" si="18"/>
        <v>0</v>
      </c>
      <c r="U59" s="61">
        <f t="shared" si="18"/>
        <v>0</v>
      </c>
      <c r="V59" s="61">
        <f t="shared" si="18"/>
        <v>0</v>
      </c>
      <c r="W59" s="61">
        <f t="shared" si="18"/>
        <v>0</v>
      </c>
      <c r="X59" s="61">
        <f t="shared" si="18"/>
        <v>0</v>
      </c>
      <c r="Y59" s="61">
        <f t="shared" si="18"/>
        <v>0</v>
      </c>
      <c r="Z59" s="61">
        <f t="shared" si="18"/>
        <v>0</v>
      </c>
      <c r="AA59" s="61">
        <f t="shared" si="18"/>
        <v>0</v>
      </c>
      <c r="AB59" s="61">
        <f t="shared" si="18"/>
        <v>0</v>
      </c>
      <c r="AC59" s="61">
        <f t="shared" si="18"/>
        <v>0</v>
      </c>
      <c r="AD59" s="61">
        <f t="shared" si="18"/>
        <v>0</v>
      </c>
      <c r="AE59" s="61">
        <f t="shared" si="18"/>
        <v>0</v>
      </c>
      <c r="AF59" s="61">
        <f t="shared" si="18"/>
        <v>0</v>
      </c>
      <c r="AG59" s="61">
        <f t="shared" si="18"/>
        <v>0</v>
      </c>
      <c r="AH59" s="61">
        <f t="shared" si="18"/>
        <v>0</v>
      </c>
      <c r="AI59" s="61">
        <f t="shared" si="18"/>
        <v>0</v>
      </c>
      <c r="AJ59" s="61">
        <f t="shared" si="18"/>
        <v>0</v>
      </c>
      <c r="AK59" s="61">
        <f t="shared" si="18"/>
        <v>0</v>
      </c>
    </row>
    <row r="60" spans="2:37">
      <c r="B60" s="70" t="s">
        <v>393</v>
      </c>
      <c r="C60" s="70"/>
      <c r="D60" s="70"/>
      <c r="E60" s="70"/>
      <c r="F60" s="70"/>
      <c r="G60" s="70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229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</row>
    <row r="61" spans="2:37" s="100" customFormat="1">
      <c r="B61" s="100" t="s">
        <v>526</v>
      </c>
      <c r="G61" s="101">
        <f t="shared" ref="G61:AK61" ca="1" si="19">IF(G39&lt;=$M$25,SUM(G57,G59:G60,G42),0)</f>
        <v>-54134887.849578276</v>
      </c>
      <c r="H61" s="101">
        <f t="shared" si="19"/>
        <v>812133.42</v>
      </c>
      <c r="I61" s="101">
        <f t="shared" si="19"/>
        <v>888858.73124999984</v>
      </c>
      <c r="J61" s="101">
        <f t="shared" si="19"/>
        <v>898466.84886328119</v>
      </c>
      <c r="K61" s="101">
        <f t="shared" si="19"/>
        <v>907676.61853932845</v>
      </c>
      <c r="L61" s="101">
        <f t="shared" si="19"/>
        <v>916445.75494153448</v>
      </c>
      <c r="M61" s="101">
        <f t="shared" si="19"/>
        <v>924729.27906381816</v>
      </c>
      <c r="N61" s="101">
        <f t="shared" si="19"/>
        <v>932479.36803925189</v>
      </c>
      <c r="O61" s="101">
        <f t="shared" si="19"/>
        <v>939645.19699963753</v>
      </c>
      <c r="P61" s="101">
        <f t="shared" si="19"/>
        <v>946172.7725749776</v>
      </c>
      <c r="Q61" s="101">
        <f t="shared" si="19"/>
        <v>18042724.160793725</v>
      </c>
      <c r="R61" s="101">
        <f t="shared" si="19"/>
        <v>0</v>
      </c>
      <c r="S61" s="101">
        <f t="shared" si="19"/>
        <v>0</v>
      </c>
      <c r="T61" s="230">
        <f t="shared" si="19"/>
        <v>0</v>
      </c>
      <c r="U61" s="101">
        <f t="shared" si="19"/>
        <v>0</v>
      </c>
      <c r="V61" s="101">
        <f t="shared" si="19"/>
        <v>0</v>
      </c>
      <c r="W61" s="101">
        <f t="shared" si="19"/>
        <v>0</v>
      </c>
      <c r="X61" s="101">
        <f t="shared" si="19"/>
        <v>0</v>
      </c>
      <c r="Y61" s="101">
        <f t="shared" si="19"/>
        <v>0</v>
      </c>
      <c r="Z61" s="101">
        <f t="shared" si="19"/>
        <v>0</v>
      </c>
      <c r="AA61" s="101">
        <f t="shared" si="19"/>
        <v>0</v>
      </c>
      <c r="AB61" s="101">
        <f t="shared" si="19"/>
        <v>0</v>
      </c>
      <c r="AC61" s="101">
        <f t="shared" si="19"/>
        <v>0</v>
      </c>
      <c r="AD61" s="101">
        <f t="shared" si="19"/>
        <v>0</v>
      </c>
      <c r="AE61" s="101">
        <f t="shared" si="19"/>
        <v>0</v>
      </c>
      <c r="AF61" s="101">
        <f t="shared" si="19"/>
        <v>0</v>
      </c>
      <c r="AG61" s="101">
        <f t="shared" si="19"/>
        <v>0</v>
      </c>
      <c r="AH61" s="101">
        <f t="shared" si="19"/>
        <v>0</v>
      </c>
      <c r="AI61" s="101">
        <f t="shared" si="19"/>
        <v>0</v>
      </c>
      <c r="AJ61" s="101">
        <f t="shared" si="19"/>
        <v>0</v>
      </c>
      <c r="AK61" s="101">
        <f t="shared" si="19"/>
        <v>0</v>
      </c>
    </row>
    <row r="62" spans="2:37" ht="16.2" thickBot="1"/>
    <row r="63" spans="2:37">
      <c r="B63" s="81" t="s">
        <v>527</v>
      </c>
      <c r="C63" s="82"/>
      <c r="D63" s="82"/>
      <c r="E63" s="82"/>
      <c r="F63" s="83">
        <f ca="1">SUM(G61:R61)</f>
        <v>-27925555.698512714</v>
      </c>
    </row>
    <row r="64" spans="2:37">
      <c r="B64" s="84" t="s">
        <v>528</v>
      </c>
      <c r="F64" s="85">
        <f>NPV(M26,H61:R61)</f>
        <v>13983231.843180602</v>
      </c>
    </row>
    <row r="65" spans="2:37">
      <c r="B65" s="84" t="s">
        <v>529</v>
      </c>
      <c r="F65" s="85">
        <f ca="1">F64+G61</f>
        <v>-40151656.006397672</v>
      </c>
      <c r="G65" s="65"/>
    </row>
    <row r="66" spans="2:37">
      <c r="B66" s="84" t="s">
        <v>530</v>
      </c>
      <c r="F66" s="86">
        <f ca="1">IRR(G61:R61)</f>
        <v>-7.9665788856147723E-2</v>
      </c>
    </row>
    <row r="67" spans="2:37" ht="16.2" thickBot="1">
      <c r="B67" s="87" t="s">
        <v>531</v>
      </c>
      <c r="C67" s="88"/>
      <c r="D67" s="88"/>
      <c r="E67" s="88"/>
      <c r="F67" s="89">
        <f ca="1">(F63/-G61)+1</f>
        <v>0.48414863671449793</v>
      </c>
    </row>
    <row r="69" spans="2:37">
      <c r="B69" s="58" t="s">
        <v>532</v>
      </c>
      <c r="G69" s="61">
        <f ca="1">R25</f>
        <v>18461028.375119712</v>
      </c>
    </row>
    <row r="70" spans="2:37">
      <c r="B70" s="58" t="s">
        <v>533</v>
      </c>
      <c r="H70" s="65">
        <f t="shared" ref="H70:AK70" si="20">IF(H39=$M$25,FV($R$13/12,H39*12,$R$15,$R$12,0),0)</f>
        <v>0</v>
      </c>
      <c r="I70" s="65">
        <f t="shared" si="20"/>
        <v>0</v>
      </c>
      <c r="J70" s="65">
        <f t="shared" si="20"/>
        <v>0</v>
      </c>
      <c r="K70" s="65">
        <f t="shared" si="20"/>
        <v>0</v>
      </c>
      <c r="L70" s="65">
        <f t="shared" si="20"/>
        <v>0</v>
      </c>
      <c r="M70" s="65">
        <f t="shared" si="20"/>
        <v>0</v>
      </c>
      <c r="N70" s="65">
        <f t="shared" si="20"/>
        <v>0</v>
      </c>
      <c r="O70" s="61">
        <f t="shared" si="20"/>
        <v>0</v>
      </c>
      <c r="P70" s="65">
        <f t="shared" si="20"/>
        <v>0</v>
      </c>
      <c r="Q70" s="61">
        <f t="shared" ca="1" si="20"/>
        <v>-11744003.260848567</v>
      </c>
      <c r="R70" s="65">
        <f t="shared" si="20"/>
        <v>0</v>
      </c>
      <c r="S70" s="65">
        <f t="shared" si="20"/>
        <v>0</v>
      </c>
      <c r="T70" s="223">
        <f t="shared" si="20"/>
        <v>0</v>
      </c>
      <c r="U70" s="65">
        <f t="shared" si="20"/>
        <v>0</v>
      </c>
      <c r="V70" s="65">
        <f t="shared" si="20"/>
        <v>0</v>
      </c>
      <c r="W70" s="65">
        <f t="shared" si="20"/>
        <v>0</v>
      </c>
      <c r="X70" s="65">
        <f t="shared" si="20"/>
        <v>0</v>
      </c>
      <c r="Y70" s="65">
        <f t="shared" si="20"/>
        <v>0</v>
      </c>
      <c r="Z70" s="65">
        <f t="shared" si="20"/>
        <v>0</v>
      </c>
      <c r="AA70" s="65">
        <f t="shared" si="20"/>
        <v>0</v>
      </c>
      <c r="AB70" s="65">
        <f t="shared" si="20"/>
        <v>0</v>
      </c>
      <c r="AC70" s="65">
        <f t="shared" si="20"/>
        <v>0</v>
      </c>
      <c r="AD70" s="65">
        <f t="shared" si="20"/>
        <v>0</v>
      </c>
      <c r="AE70" s="65">
        <f t="shared" si="20"/>
        <v>0</v>
      </c>
      <c r="AF70" s="65">
        <f t="shared" si="20"/>
        <v>0</v>
      </c>
      <c r="AG70" s="65">
        <f t="shared" si="20"/>
        <v>0</v>
      </c>
      <c r="AH70" s="65">
        <f t="shared" si="20"/>
        <v>0</v>
      </c>
      <c r="AI70" s="65">
        <f t="shared" si="20"/>
        <v>0</v>
      </c>
      <c r="AJ70" s="65">
        <f t="shared" si="20"/>
        <v>0</v>
      </c>
      <c r="AK70" s="65">
        <f t="shared" si="20"/>
        <v>0</v>
      </c>
    </row>
    <row r="71" spans="2:37">
      <c r="B71" s="58" t="s">
        <v>534</v>
      </c>
      <c r="H71" s="61">
        <f t="shared" ref="H71:AK71" ca="1" si="21">IF(H39&lt;=$M$25,$R$15*12,0)</f>
        <v>-1536432.0432434671</v>
      </c>
      <c r="I71" s="61">
        <f t="shared" ca="1" si="21"/>
        <v>-1536432.0432434671</v>
      </c>
      <c r="J71" s="61">
        <f t="shared" ca="1" si="21"/>
        <v>-1536432.0432434671</v>
      </c>
      <c r="K71" s="61">
        <f t="shared" ca="1" si="21"/>
        <v>-1536432.0432434671</v>
      </c>
      <c r="L71" s="61">
        <f t="shared" ca="1" si="21"/>
        <v>-1536432.0432434671</v>
      </c>
      <c r="M71" s="61">
        <f t="shared" ca="1" si="21"/>
        <v>-1536432.0432434671</v>
      </c>
      <c r="N71" s="61">
        <f t="shared" ca="1" si="21"/>
        <v>-1536432.0432434671</v>
      </c>
      <c r="O71" s="61">
        <f t="shared" ca="1" si="21"/>
        <v>-1536432.0432434671</v>
      </c>
      <c r="P71" s="61">
        <f t="shared" ca="1" si="21"/>
        <v>-1536432.0432434671</v>
      </c>
      <c r="Q71" s="61">
        <f t="shared" ca="1" si="21"/>
        <v>-1536432.0432434671</v>
      </c>
      <c r="R71" s="61">
        <f t="shared" si="21"/>
        <v>0</v>
      </c>
      <c r="S71" s="61">
        <f t="shared" si="21"/>
        <v>0</v>
      </c>
      <c r="T71" s="227">
        <f t="shared" si="21"/>
        <v>0</v>
      </c>
      <c r="U71" s="61">
        <f t="shared" si="21"/>
        <v>0</v>
      </c>
      <c r="V71" s="61">
        <f t="shared" si="21"/>
        <v>0</v>
      </c>
      <c r="W71" s="61">
        <f t="shared" si="21"/>
        <v>0</v>
      </c>
      <c r="X71" s="61">
        <f t="shared" si="21"/>
        <v>0</v>
      </c>
      <c r="Y71" s="61">
        <f t="shared" si="21"/>
        <v>0</v>
      </c>
      <c r="Z71" s="61">
        <f t="shared" si="21"/>
        <v>0</v>
      </c>
      <c r="AA71" s="61">
        <f t="shared" si="21"/>
        <v>0</v>
      </c>
      <c r="AB71" s="61">
        <f t="shared" si="21"/>
        <v>0</v>
      </c>
      <c r="AC71" s="61">
        <f t="shared" si="21"/>
        <v>0</v>
      </c>
      <c r="AD71" s="61">
        <f t="shared" si="21"/>
        <v>0</v>
      </c>
      <c r="AE71" s="61">
        <f t="shared" si="21"/>
        <v>0</v>
      </c>
      <c r="AF71" s="61">
        <f t="shared" si="21"/>
        <v>0</v>
      </c>
      <c r="AG71" s="61">
        <f t="shared" si="21"/>
        <v>0</v>
      </c>
      <c r="AH71" s="61">
        <f t="shared" si="21"/>
        <v>0</v>
      </c>
      <c r="AI71" s="61">
        <f t="shared" si="21"/>
        <v>0</v>
      </c>
      <c r="AJ71" s="61">
        <f t="shared" si="21"/>
        <v>0</v>
      </c>
      <c r="AK71" s="61">
        <f t="shared" si="21"/>
        <v>0</v>
      </c>
    </row>
    <row r="73" spans="2:37" s="100" customFormat="1">
      <c r="B73" s="100" t="s">
        <v>535</v>
      </c>
      <c r="G73" s="101">
        <f ca="1">SUM(G61,G69:G71)</f>
        <v>-35673859.47445856</v>
      </c>
      <c r="H73" s="101">
        <f t="shared" ref="H73:AK73" ca="1" si="22">SUM(H61,H69:H71)</f>
        <v>-724298.62324346707</v>
      </c>
      <c r="I73" s="101">
        <f t="shared" ca="1" si="22"/>
        <v>-647573.31199346727</v>
      </c>
      <c r="J73" s="101">
        <f t="shared" ca="1" si="22"/>
        <v>-637965.19438018592</v>
      </c>
      <c r="K73" s="101">
        <f t="shared" ca="1" si="22"/>
        <v>-628755.42470413866</v>
      </c>
      <c r="L73" s="101">
        <f t="shared" ca="1" si="22"/>
        <v>-619986.28830193263</v>
      </c>
      <c r="M73" s="101">
        <f t="shared" ca="1" si="22"/>
        <v>-611702.76417964895</v>
      </c>
      <c r="N73" s="101">
        <f t="shared" ca="1" si="22"/>
        <v>-603952.67520421522</v>
      </c>
      <c r="O73" s="101">
        <f t="shared" ca="1" si="22"/>
        <v>-596786.84624382958</v>
      </c>
      <c r="P73" s="101">
        <f t="shared" ca="1" si="22"/>
        <v>-590259.27066848951</v>
      </c>
      <c r="Q73" s="101">
        <f t="shared" ca="1" si="22"/>
        <v>4762288.8567016916</v>
      </c>
      <c r="R73" s="101">
        <f t="shared" si="22"/>
        <v>0</v>
      </c>
      <c r="S73" s="101">
        <f t="shared" si="22"/>
        <v>0</v>
      </c>
      <c r="T73" s="230">
        <f t="shared" si="22"/>
        <v>0</v>
      </c>
      <c r="U73" s="101">
        <f t="shared" si="22"/>
        <v>0</v>
      </c>
      <c r="V73" s="101">
        <f t="shared" si="22"/>
        <v>0</v>
      </c>
      <c r="W73" s="101">
        <f t="shared" si="22"/>
        <v>0</v>
      </c>
      <c r="X73" s="101">
        <f t="shared" si="22"/>
        <v>0</v>
      </c>
      <c r="Y73" s="101">
        <f t="shared" si="22"/>
        <v>0</v>
      </c>
      <c r="Z73" s="101">
        <f t="shared" si="22"/>
        <v>0</v>
      </c>
      <c r="AA73" s="101">
        <f t="shared" si="22"/>
        <v>0</v>
      </c>
      <c r="AB73" s="101">
        <f t="shared" si="22"/>
        <v>0</v>
      </c>
      <c r="AC73" s="101">
        <f t="shared" si="22"/>
        <v>0</v>
      </c>
      <c r="AD73" s="101">
        <f t="shared" si="22"/>
        <v>0</v>
      </c>
      <c r="AE73" s="101">
        <f t="shared" si="22"/>
        <v>0</v>
      </c>
      <c r="AF73" s="101">
        <f t="shared" si="22"/>
        <v>0</v>
      </c>
      <c r="AG73" s="101">
        <f t="shared" si="22"/>
        <v>0</v>
      </c>
      <c r="AH73" s="101">
        <f t="shared" si="22"/>
        <v>0</v>
      </c>
      <c r="AI73" s="101">
        <f t="shared" si="22"/>
        <v>0</v>
      </c>
      <c r="AJ73" s="101">
        <f t="shared" si="22"/>
        <v>0</v>
      </c>
      <c r="AK73" s="101">
        <f t="shared" si="22"/>
        <v>0</v>
      </c>
    </row>
    <row r="74" spans="2:37" ht="16.2" thickBot="1"/>
    <row r="75" spans="2:37">
      <c r="B75" s="81" t="str">
        <f>B63</f>
        <v>Profit</v>
      </c>
      <c r="C75" s="82"/>
      <c r="D75" s="82"/>
      <c r="E75" s="82"/>
      <c r="F75" s="83">
        <f ca="1">SUM(G73:R73)</f>
        <v>-36572851.01667624</v>
      </c>
    </row>
    <row r="76" spans="2:37">
      <c r="B76" s="84" t="str">
        <f t="shared" ref="B76:B79" si="23">B64</f>
        <v>PV</v>
      </c>
      <c r="F76" s="85">
        <f ca="1">NPV($M$26,H73:R73)</f>
        <v>-1766098.0653953331</v>
      </c>
    </row>
    <row r="77" spans="2:37">
      <c r="B77" s="84" t="str">
        <f t="shared" si="23"/>
        <v>NPV</v>
      </c>
      <c r="F77" s="85">
        <f ca="1">F76+G73</f>
        <v>-37439957.539853893</v>
      </c>
    </row>
    <row r="78" spans="2:37">
      <c r="B78" s="84" t="s">
        <v>536</v>
      </c>
      <c r="F78" s="90">
        <f ca="1">IRR(G73:R73)</f>
        <v>-0.22317619926925036</v>
      </c>
    </row>
    <row r="79" spans="2:37" ht="16.2" thickBot="1">
      <c r="B79" s="87" t="str">
        <f t="shared" si="23"/>
        <v>Equity Multiple</v>
      </c>
      <c r="C79" s="88"/>
      <c r="D79" s="88"/>
      <c r="E79" s="88"/>
      <c r="F79" s="89">
        <f ca="1">(F75/-G73)+1</f>
        <v>-2.52002882632123E-2</v>
      </c>
    </row>
    <row r="81" spans="1:37">
      <c r="A81" s="58" t="s">
        <v>472</v>
      </c>
      <c r="B81" s="59" t="s">
        <v>537</v>
      </c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231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</row>
    <row r="82" spans="1:37">
      <c r="B82" s="58" t="s">
        <v>538</v>
      </c>
      <c r="H82" s="91">
        <f ca="1">-H61/$G$61</f>
        <v>1.5002033850271046E-2</v>
      </c>
      <c r="I82" s="91">
        <f t="shared" ref="I82:AK82" ca="1" si="24">-I61/$G$61</f>
        <v>1.6419332644039535E-2</v>
      </c>
      <c r="J82" s="91">
        <f t="shared" ca="1" si="24"/>
        <v>1.6596817404698483E-2</v>
      </c>
      <c r="K82" s="91">
        <f t="shared" ca="1" si="24"/>
        <v>1.6766943732504647E-2</v>
      </c>
      <c r="L82" s="91">
        <f t="shared" ca="1" si="24"/>
        <v>1.6928930516823336E-2</v>
      </c>
      <c r="M82" s="91">
        <f t="shared" ca="1" si="24"/>
        <v>1.7081946888544669E-2</v>
      </c>
      <c r="N82" s="91">
        <f t="shared" ca="1" si="24"/>
        <v>1.7225109445692076E-2</v>
      </c>
      <c r="O82" s="91">
        <f t="shared" ca="1" si="24"/>
        <v>1.7357479332192938E-2</v>
      </c>
      <c r="P82" s="91">
        <f t="shared" ca="1" si="24"/>
        <v>1.7478059162218226E-2</v>
      </c>
      <c r="Q82" s="91">
        <f t="shared" ca="1" si="24"/>
        <v>0.33329198373751284</v>
      </c>
      <c r="R82" s="91">
        <f t="shared" ca="1" si="24"/>
        <v>0</v>
      </c>
      <c r="S82" s="91">
        <f t="shared" ca="1" si="24"/>
        <v>0</v>
      </c>
      <c r="T82" s="232">
        <f t="shared" ca="1" si="24"/>
        <v>0</v>
      </c>
      <c r="U82" s="91">
        <f t="shared" ca="1" si="24"/>
        <v>0</v>
      </c>
      <c r="V82" s="91">
        <f t="shared" ca="1" si="24"/>
        <v>0</v>
      </c>
      <c r="W82" s="91">
        <f t="shared" ca="1" si="24"/>
        <v>0</v>
      </c>
      <c r="X82" s="91">
        <f t="shared" ca="1" si="24"/>
        <v>0</v>
      </c>
      <c r="Y82" s="91">
        <f t="shared" ca="1" si="24"/>
        <v>0</v>
      </c>
      <c r="Z82" s="91">
        <f t="shared" ca="1" si="24"/>
        <v>0</v>
      </c>
      <c r="AA82" s="91">
        <f t="shared" ca="1" si="24"/>
        <v>0</v>
      </c>
      <c r="AB82" s="91">
        <f t="shared" ca="1" si="24"/>
        <v>0</v>
      </c>
      <c r="AC82" s="91">
        <f t="shared" ca="1" si="24"/>
        <v>0</v>
      </c>
      <c r="AD82" s="91">
        <f t="shared" ca="1" si="24"/>
        <v>0</v>
      </c>
      <c r="AE82" s="91">
        <f t="shared" ca="1" si="24"/>
        <v>0</v>
      </c>
      <c r="AF82" s="91">
        <f t="shared" ca="1" si="24"/>
        <v>0</v>
      </c>
      <c r="AG82" s="91">
        <f t="shared" ca="1" si="24"/>
        <v>0</v>
      </c>
      <c r="AH82" s="91">
        <f t="shared" ca="1" si="24"/>
        <v>0</v>
      </c>
      <c r="AI82" s="91">
        <f t="shared" ca="1" si="24"/>
        <v>0</v>
      </c>
      <c r="AJ82" s="91">
        <f t="shared" ca="1" si="24"/>
        <v>0</v>
      </c>
      <c r="AK82" s="91">
        <f t="shared" ca="1" si="24"/>
        <v>0</v>
      </c>
    </row>
    <row r="83" spans="1:37">
      <c r="B83" s="58" t="s">
        <v>539</v>
      </c>
      <c r="H83" s="91">
        <f ca="1">-H73/$G$73</f>
        <v>-2.0303343510170064E-2</v>
      </c>
      <c r="I83" s="91">
        <f t="shared" ref="I83:AK83" ca="1" si="25">-I73/$G$73</f>
        <v>-1.8152600294260586E-2</v>
      </c>
      <c r="J83" s="91">
        <f t="shared" ca="1" si="25"/>
        <v>-1.7883268134667354E-2</v>
      </c>
      <c r="K83" s="91">
        <f t="shared" ca="1" si="25"/>
        <v>-1.7625102356931946E-2</v>
      </c>
      <c r="L83" s="91">
        <f t="shared" ca="1" si="25"/>
        <v>-1.7379288292196829E-2</v>
      </c>
      <c r="M83" s="91">
        <f t="shared" ca="1" si="25"/>
        <v>-1.7147086779820114E-2</v>
      </c>
      <c r="N83" s="91">
        <f t="shared" ca="1" si="25"/>
        <v>-1.6929838377499572E-2</v>
      </c>
      <c r="O83" s="91">
        <f t="shared" ca="1" si="25"/>
        <v>-1.6728967794222307E-2</v>
      </c>
      <c r="P83" s="91">
        <f t="shared" ca="1" si="25"/>
        <v>-1.6545988557562657E-2</v>
      </c>
      <c r="Q83" s="91">
        <f t="shared" ca="1" si="25"/>
        <v>0.13349519583411912</v>
      </c>
      <c r="R83" s="91">
        <f t="shared" ca="1" si="25"/>
        <v>0</v>
      </c>
      <c r="S83" s="91">
        <f t="shared" ca="1" si="25"/>
        <v>0</v>
      </c>
      <c r="T83" s="232">
        <f t="shared" ca="1" si="25"/>
        <v>0</v>
      </c>
      <c r="U83" s="91">
        <f t="shared" ca="1" si="25"/>
        <v>0</v>
      </c>
      <c r="V83" s="91">
        <f t="shared" ca="1" si="25"/>
        <v>0</v>
      </c>
      <c r="W83" s="91">
        <f t="shared" ca="1" si="25"/>
        <v>0</v>
      </c>
      <c r="X83" s="91">
        <f t="shared" ca="1" si="25"/>
        <v>0</v>
      </c>
      <c r="Y83" s="91">
        <f t="shared" ca="1" si="25"/>
        <v>0</v>
      </c>
      <c r="Z83" s="91">
        <f t="shared" ca="1" si="25"/>
        <v>0</v>
      </c>
      <c r="AA83" s="91">
        <f t="shared" ca="1" si="25"/>
        <v>0</v>
      </c>
      <c r="AB83" s="91">
        <f t="shared" ca="1" si="25"/>
        <v>0</v>
      </c>
      <c r="AC83" s="91">
        <f t="shared" ca="1" si="25"/>
        <v>0</v>
      </c>
      <c r="AD83" s="91">
        <f t="shared" ca="1" si="25"/>
        <v>0</v>
      </c>
      <c r="AE83" s="91">
        <f t="shared" ca="1" si="25"/>
        <v>0</v>
      </c>
      <c r="AF83" s="91">
        <f t="shared" ca="1" si="25"/>
        <v>0</v>
      </c>
      <c r="AG83" s="91">
        <f t="shared" ca="1" si="25"/>
        <v>0</v>
      </c>
      <c r="AH83" s="91">
        <f t="shared" ca="1" si="25"/>
        <v>0</v>
      </c>
      <c r="AI83" s="91">
        <f t="shared" ca="1" si="25"/>
        <v>0</v>
      </c>
      <c r="AJ83" s="91">
        <f t="shared" ca="1" si="25"/>
        <v>0</v>
      </c>
      <c r="AK83" s="91">
        <f t="shared" ca="1" si="25"/>
        <v>0</v>
      </c>
    </row>
    <row r="84" spans="1:37">
      <c r="B84" s="58" t="s">
        <v>540</v>
      </c>
      <c r="H84" s="61">
        <f t="shared" ref="H84:AK84" ca="1" si="26">-CUMPRINC($R$13/12,$R$14*12,$R$12,H39*12-11,H39*12,0)</f>
        <v>515717.68826048268</v>
      </c>
      <c r="I84" s="61">
        <f t="shared" ca="1" si="26"/>
        <v>545350.78969160328</v>
      </c>
      <c r="J84" s="61">
        <f t="shared" ca="1" si="26"/>
        <v>576686.60700859723</v>
      </c>
      <c r="K84" s="61">
        <f t="shared" ca="1" si="26"/>
        <v>609822.97814431624</v>
      </c>
      <c r="L84" s="61">
        <f t="shared" ca="1" si="26"/>
        <v>644863.3627922266</v>
      </c>
      <c r="M84" s="61">
        <f t="shared" ca="1" si="26"/>
        <v>681917.16543237108</v>
      </c>
      <c r="N84" s="61">
        <f t="shared" ca="1" si="26"/>
        <v>721100.07691837999</v>
      </c>
      <c r="O84" s="61">
        <f t="shared" ca="1" si="26"/>
        <v>762534.43569204735</v>
      </c>
      <c r="P84" s="61">
        <f t="shared" ca="1" si="26"/>
        <v>806349.60975327028</v>
      </c>
      <c r="Q84" s="61">
        <f t="shared" ca="1" si="26"/>
        <v>852682.4005779553</v>
      </c>
      <c r="R84" s="61">
        <f t="shared" ca="1" si="26"/>
        <v>901677.47024501604</v>
      </c>
      <c r="S84" s="61">
        <f t="shared" ca="1" si="26"/>
        <v>953487.79310605954</v>
      </c>
      <c r="T84" s="227">
        <f t="shared" ca="1" si="26"/>
        <v>1008275.1334079807</v>
      </c>
      <c r="U84" s="61">
        <f t="shared" ca="1" si="26"/>
        <v>1066210.5503597141</v>
      </c>
      <c r="V84" s="61">
        <f t="shared" ca="1" si="26"/>
        <v>1127474.932220089</v>
      </c>
      <c r="W84" s="61">
        <f t="shared" ca="1" si="26"/>
        <v>1192259.5610743323</v>
      </c>
      <c r="X84" s="61">
        <f t="shared" ca="1" si="26"/>
        <v>1260766.7100625862</v>
      </c>
      <c r="Y84" s="61">
        <f t="shared" ca="1" si="26"/>
        <v>1333210.2749251402</v>
      </c>
      <c r="Z84" s="61">
        <f t="shared" ca="1" si="26"/>
        <v>1409816.4418362004</v>
      </c>
      <c r="AA84" s="61">
        <f t="shared" ca="1" si="26"/>
        <v>1490824.3936113436</v>
      </c>
      <c r="AB84" s="61" t="e">
        <f t="shared" ca="1" si="26"/>
        <v>#NUM!</v>
      </c>
      <c r="AC84" s="61" t="e">
        <f t="shared" ca="1" si="26"/>
        <v>#NUM!</v>
      </c>
      <c r="AD84" s="61" t="e">
        <f t="shared" ca="1" si="26"/>
        <v>#NUM!</v>
      </c>
      <c r="AE84" s="61" t="e">
        <f t="shared" ca="1" si="26"/>
        <v>#NUM!</v>
      </c>
      <c r="AF84" s="61" t="e">
        <f t="shared" ca="1" si="26"/>
        <v>#NUM!</v>
      </c>
      <c r="AG84" s="61" t="e">
        <f t="shared" ca="1" si="26"/>
        <v>#NUM!</v>
      </c>
      <c r="AH84" s="61" t="e">
        <f t="shared" ca="1" si="26"/>
        <v>#NUM!</v>
      </c>
      <c r="AI84" s="61" t="e">
        <f t="shared" ca="1" si="26"/>
        <v>#NUM!</v>
      </c>
      <c r="AJ84" s="61" t="e">
        <f t="shared" ca="1" si="26"/>
        <v>#NUM!</v>
      </c>
      <c r="AK84" s="61" t="e">
        <f t="shared" ca="1" si="26"/>
        <v>#NUM!</v>
      </c>
    </row>
    <row r="85" spans="1:37">
      <c r="B85" s="58" t="s">
        <v>541</v>
      </c>
      <c r="H85" s="91">
        <f t="shared" ref="H85:AK85" ca="1" si="27">IF(H39&lt;=$M$25,(H84+H73)/-$G$73,0)</f>
        <v>-5.8468844710318551E-3</v>
      </c>
      <c r="I85" s="91">
        <f t="shared" ca="1" si="27"/>
        <v>-2.8654741541226381E-3</v>
      </c>
      <c r="J85" s="91">
        <f t="shared" ca="1" si="27"/>
        <v>-1.7177448213996122E-3</v>
      </c>
      <c r="K85" s="91">
        <f t="shared" ca="1" si="27"/>
        <v>-5.3070923187824683E-4</v>
      </c>
      <c r="L85" s="91">
        <f t="shared" ca="1" si="27"/>
        <v>6.9734743750126716E-4</v>
      </c>
      <c r="M85" s="91">
        <f t="shared" ca="1" si="27"/>
        <v>1.9682311442358398E-3</v>
      </c>
      <c r="N85" s="91">
        <f t="shared" ca="1" si="27"/>
        <v>3.2838443454103663E-3</v>
      </c>
      <c r="O85" s="91">
        <f t="shared" ca="1" si="27"/>
        <v>4.6461916902175437E-3</v>
      </c>
      <c r="P85" s="91">
        <f t="shared" ca="1" si="27"/>
        <v>6.0573860599382337E-3</v>
      </c>
      <c r="Q85" s="91">
        <f t="shared" ca="1" si="27"/>
        <v>0.1573973587382605</v>
      </c>
      <c r="R85" s="91">
        <f t="shared" si="27"/>
        <v>0</v>
      </c>
      <c r="S85" s="91">
        <f t="shared" si="27"/>
        <v>0</v>
      </c>
      <c r="T85" s="232">
        <f t="shared" si="27"/>
        <v>0</v>
      </c>
      <c r="U85" s="91">
        <f t="shared" si="27"/>
        <v>0</v>
      </c>
      <c r="V85" s="91">
        <f t="shared" si="27"/>
        <v>0</v>
      </c>
      <c r="W85" s="91">
        <f t="shared" si="27"/>
        <v>0</v>
      </c>
      <c r="X85" s="91">
        <f t="shared" si="27"/>
        <v>0</v>
      </c>
      <c r="Y85" s="91">
        <f t="shared" si="27"/>
        <v>0</v>
      </c>
      <c r="Z85" s="91">
        <f t="shared" si="27"/>
        <v>0</v>
      </c>
      <c r="AA85" s="91">
        <f t="shared" si="27"/>
        <v>0</v>
      </c>
      <c r="AB85" s="91">
        <f t="shared" si="27"/>
        <v>0</v>
      </c>
      <c r="AC85" s="91">
        <f t="shared" si="27"/>
        <v>0</v>
      </c>
      <c r="AD85" s="91">
        <f t="shared" si="27"/>
        <v>0</v>
      </c>
      <c r="AE85" s="91">
        <f t="shared" si="27"/>
        <v>0</v>
      </c>
      <c r="AF85" s="91">
        <f t="shared" si="27"/>
        <v>0</v>
      </c>
      <c r="AG85" s="91">
        <f t="shared" si="27"/>
        <v>0</v>
      </c>
      <c r="AH85" s="91">
        <f t="shared" si="27"/>
        <v>0</v>
      </c>
      <c r="AI85" s="91">
        <f t="shared" si="27"/>
        <v>0</v>
      </c>
      <c r="AJ85" s="91">
        <f t="shared" si="27"/>
        <v>0</v>
      </c>
      <c r="AK85" s="91">
        <f t="shared" si="27"/>
        <v>0</v>
      </c>
    </row>
    <row r="86" spans="1:37">
      <c r="B86" s="58" t="s">
        <v>491</v>
      </c>
      <c r="H86" s="68">
        <f t="shared" ref="H86:AK86" ca="1" si="28">IF(H39&lt;=$M$25,H57/-H71,0)</f>
        <v>0.52858401617656658</v>
      </c>
      <c r="I86" s="68">
        <f t="shared" ca="1" si="28"/>
        <v>0.5785213444088193</v>
      </c>
      <c r="J86" s="68">
        <f t="shared" ca="1" si="28"/>
        <v>0.58477487033307585</v>
      </c>
      <c r="K86" s="68">
        <f t="shared" ca="1" si="28"/>
        <v>0.59076912807883664</v>
      </c>
      <c r="L86" s="68">
        <f t="shared" ca="1" si="28"/>
        <v>0.59647659587135549</v>
      </c>
      <c r="M86" s="68">
        <f t="shared" ca="1" si="28"/>
        <v>0.6018679987379586</v>
      </c>
      <c r="N86" s="68">
        <f t="shared" ca="1" si="28"/>
        <v>0.60691221075469903</v>
      </c>
      <c r="O86" s="68">
        <f t="shared" ca="1" si="28"/>
        <v>0.61157615211930261</v>
      </c>
      <c r="P86" s="68">
        <f t="shared" ca="1" si="28"/>
        <v>0.61582468078286789</v>
      </c>
      <c r="Q86" s="68">
        <f t="shared" ca="1" si="28"/>
        <v>0.61962047835908951</v>
      </c>
      <c r="R86" s="68">
        <f t="shared" si="28"/>
        <v>0</v>
      </c>
      <c r="S86" s="68">
        <f t="shared" si="28"/>
        <v>0</v>
      </c>
      <c r="T86" s="233">
        <f t="shared" si="28"/>
        <v>0</v>
      </c>
      <c r="U86" s="68">
        <f t="shared" si="28"/>
        <v>0</v>
      </c>
      <c r="V86" s="68">
        <f t="shared" si="28"/>
        <v>0</v>
      </c>
      <c r="W86" s="68">
        <f t="shared" si="28"/>
        <v>0</v>
      </c>
      <c r="X86" s="68">
        <f t="shared" si="28"/>
        <v>0</v>
      </c>
      <c r="Y86" s="68">
        <f t="shared" si="28"/>
        <v>0</v>
      </c>
      <c r="Z86" s="68">
        <f t="shared" si="28"/>
        <v>0</v>
      </c>
      <c r="AA86" s="68">
        <f t="shared" si="28"/>
        <v>0</v>
      </c>
      <c r="AB86" s="68">
        <f t="shared" si="28"/>
        <v>0</v>
      </c>
      <c r="AC86" s="68">
        <f t="shared" si="28"/>
        <v>0</v>
      </c>
      <c r="AD86" s="68">
        <f t="shared" si="28"/>
        <v>0</v>
      </c>
      <c r="AE86" s="68">
        <f t="shared" si="28"/>
        <v>0</v>
      </c>
      <c r="AF86" s="68">
        <f t="shared" si="28"/>
        <v>0</v>
      </c>
      <c r="AG86" s="68">
        <f t="shared" si="28"/>
        <v>0</v>
      </c>
      <c r="AH86" s="68">
        <f t="shared" si="28"/>
        <v>0</v>
      </c>
      <c r="AI86" s="68">
        <f t="shared" si="28"/>
        <v>0</v>
      </c>
      <c r="AJ86" s="68">
        <f t="shared" si="28"/>
        <v>0</v>
      </c>
      <c r="AK86" s="68">
        <f t="shared" si="28"/>
        <v>0</v>
      </c>
    </row>
    <row r="87" spans="1:37">
      <c r="B87" s="58" t="s">
        <v>493</v>
      </c>
      <c r="H87" s="91">
        <f ca="1">H61/($G$69-SUM(H84:$H$84))</f>
        <v>4.5256024494170453E-2</v>
      </c>
      <c r="I87" s="91">
        <f ca="1">I61/($G$69-SUM($H84:I$84))</f>
        <v>5.1083952865586126E-2</v>
      </c>
      <c r="J87" s="91">
        <f ca="1">J61/($G$69-SUM($H84:J$84))</f>
        <v>5.3406185191608932E-2</v>
      </c>
      <c r="K87" s="91">
        <f ca="1">K61/($G$69-SUM($H84:K$84))</f>
        <v>5.598294015597096E-2</v>
      </c>
      <c r="L87" s="91">
        <f ca="1">L61/($G$69-SUM($H84:L$84))</f>
        <v>5.8865056792280233E-2</v>
      </c>
      <c r="M87" s="91">
        <f ca="1">M61/($G$69-SUM($H84:M$84))</f>
        <v>6.2117941251759533E-2</v>
      </c>
      <c r="N87" s="91">
        <f ca="1">N61/($G$69-SUM($H84:N$84))</f>
        <v>6.5827170197532189E-2</v>
      </c>
      <c r="O87" s="91">
        <f ca="1">O61/($G$69-SUM($H84:O$84))</f>
        <v>7.0106895788011561E-2</v>
      </c>
      <c r="P87" s="91">
        <f ca="1">P61/($G$69-SUM($H84:P$84))</f>
        <v>7.5112835074733084E-2</v>
      </c>
      <c r="Q87" s="91">
        <f ca="1">Q61/($G$69-SUM($H84:Q$84))</f>
        <v>1.5363350775747489</v>
      </c>
      <c r="R87" s="91">
        <f ca="1">R61/($G$69-SUM($H84:R$84))</f>
        <v>0</v>
      </c>
      <c r="S87" s="91">
        <f ca="1">S61/($G$69-SUM($H84:S$84))</f>
        <v>0</v>
      </c>
      <c r="T87" s="232">
        <f ca="1">T61/($G$69-SUM($H84:T$84))</f>
        <v>0</v>
      </c>
      <c r="U87" s="91">
        <f ca="1">U61/($G$69-SUM($H84:U$84))</f>
        <v>0</v>
      </c>
      <c r="V87" s="91">
        <f ca="1">V61/($G$69-SUM($H84:V$84))</f>
        <v>0</v>
      </c>
      <c r="W87" s="91">
        <f ca="1">W61/($G$69-SUM($H84:W$84))</f>
        <v>0</v>
      </c>
      <c r="X87" s="91">
        <f ca="1">X61/($G$69-SUM($H84:X$84))</f>
        <v>0</v>
      </c>
      <c r="Y87" s="91">
        <f ca="1">Y61/($G$69-SUM($H84:Y$84))</f>
        <v>0</v>
      </c>
      <c r="Z87" s="91">
        <f ca="1">Z61/($G$69-SUM($H84:Z$84))</f>
        <v>0</v>
      </c>
      <c r="AA87" s="91">
        <f ca="1">AA61/($G$69-SUM($H84:AA$84))</f>
        <v>0</v>
      </c>
      <c r="AB87" s="91" t="e">
        <f ca="1">AB61/($G$69-SUM($H84:AB$84))</f>
        <v>#NUM!</v>
      </c>
      <c r="AC87" s="91" t="e">
        <f ca="1">AC61/($G$69-SUM($H84:AC$84))</f>
        <v>#NUM!</v>
      </c>
      <c r="AD87" s="91" t="e">
        <f ca="1">AD61/($G$69-SUM($H84:AD$84))</f>
        <v>#NUM!</v>
      </c>
      <c r="AE87" s="91" t="e">
        <f ca="1">AE61/($G$69-SUM($H84:AE$84))</f>
        <v>#NUM!</v>
      </c>
      <c r="AF87" s="91" t="e">
        <f ca="1">AF61/($G$69-SUM($H84:AF$84))</f>
        <v>#NUM!</v>
      </c>
      <c r="AG87" s="91" t="e">
        <f ca="1">AG61/($G$69-SUM($H84:AG$84))</f>
        <v>#NUM!</v>
      </c>
      <c r="AH87" s="91" t="e">
        <f ca="1">AH61/($G$69-SUM($H84:AH$84))</f>
        <v>#NUM!</v>
      </c>
      <c r="AI87" s="91" t="e">
        <f ca="1">AI61/($G$69-SUM($H84:AI$84))</f>
        <v>#NUM!</v>
      </c>
      <c r="AJ87" s="91" t="e">
        <f ca="1">AJ61/($G$69-SUM($H84:AJ$84))</f>
        <v>#NUM!</v>
      </c>
      <c r="AK87" s="91" t="e">
        <f ca="1">AK61/($G$69-SUM($H84:AK$84))</f>
        <v>#NUM!</v>
      </c>
    </row>
  </sheetData>
  <conditionalFormatting sqref="T11:U22">
    <cfRule type="expression" dxfId="3" priority="2">
      <formula>$G$44="N"</formula>
    </cfRule>
  </conditionalFormatting>
  <conditionalFormatting sqref="U11">
    <cfRule type="expression" dxfId="2" priority="3">
      <formula>AND(#REF!=0, $G$44="Y")</formula>
    </cfRule>
  </conditionalFormatting>
  <pageMargins left="0.7" right="0.7" top="0.75" bottom="0.75" header="0.3" footer="0.3"/>
  <pageSetup scale="42" orientation="portrait" r:id="rId1"/>
  <headerFooter>
    <oddHeader xml:space="preserve">&amp;L2019 ULI Hines Student Competition&amp;R2019-331 &amp;A 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35F0C-15EF-4E05-A9F1-DAC03CFBDDB1}">
  <sheetPr>
    <tabColor rgb="FF002060"/>
  </sheetPr>
  <dimension ref="A2:AK97"/>
  <sheetViews>
    <sheetView showGridLines="0" view="pageBreakPreview" zoomScale="80" zoomScaleNormal="100" zoomScaleSheetLayoutView="80" workbookViewId="0"/>
  </sheetViews>
  <sheetFormatPr defaultRowHeight="14.4"/>
  <cols>
    <col min="1" max="4" width="1.6640625" style="102" customWidth="1"/>
    <col min="5" max="5" width="8.88671875" style="102"/>
    <col min="6" max="6" width="8.88671875" style="102" customWidth="1"/>
    <col min="7" max="7" width="16.33203125" style="102" customWidth="1"/>
    <col min="8" max="8" width="12.5546875" style="102" bestFit="1" customWidth="1"/>
    <col min="9" max="9" width="11.5546875" style="102" bestFit="1" customWidth="1"/>
    <col min="10" max="10" width="13.6640625" style="102" bestFit="1" customWidth="1"/>
    <col min="11" max="12" width="12.5546875" style="102" bestFit="1" customWidth="1"/>
    <col min="13" max="14" width="11.88671875" style="102" bestFit="1" customWidth="1"/>
    <col min="15" max="15" width="12.109375" style="102" bestFit="1" customWidth="1"/>
    <col min="16" max="16" width="13" style="103" customWidth="1"/>
    <col min="17" max="17" width="12.44140625" style="102" bestFit="1" customWidth="1"/>
    <col min="18" max="18" width="13.109375" style="102" bestFit="1" customWidth="1"/>
    <col min="19" max="21" width="8.88671875" style="102"/>
    <col min="22" max="22" width="14.109375" style="102" bestFit="1" customWidth="1"/>
    <col min="23" max="16384" width="8.88671875" style="102"/>
  </cols>
  <sheetData>
    <row r="2" spans="1:19">
      <c r="P2" s="497"/>
    </row>
    <row r="3" spans="1:19">
      <c r="P3" s="497"/>
    </row>
    <row r="4" spans="1:19">
      <c r="P4" s="497"/>
    </row>
    <row r="5" spans="1:19">
      <c r="P5" s="497"/>
    </row>
    <row r="6" spans="1:19">
      <c r="P6" s="497"/>
    </row>
    <row r="7" spans="1:19">
      <c r="P7" s="497"/>
    </row>
    <row r="8" spans="1:19">
      <c r="B8" s="410" t="s">
        <v>762</v>
      </c>
      <c r="P8" s="387"/>
    </row>
    <row r="9" spans="1:19" ht="15.6">
      <c r="B9" s="411" t="s">
        <v>764</v>
      </c>
      <c r="P9" s="387"/>
    </row>
    <row r="11" spans="1:19">
      <c r="A11" s="102" t="s">
        <v>472</v>
      </c>
      <c r="B11" s="104" t="s">
        <v>473</v>
      </c>
      <c r="C11" s="104"/>
      <c r="D11" s="104"/>
      <c r="E11" s="104"/>
      <c r="F11" s="104"/>
      <c r="G11" s="104"/>
      <c r="H11" s="104"/>
      <c r="I11" s="105"/>
      <c r="J11" s="104" t="s">
        <v>555</v>
      </c>
      <c r="K11" s="104"/>
      <c r="L11" s="104"/>
      <c r="M11" s="104"/>
      <c r="N11" s="106" t="s">
        <v>556</v>
      </c>
      <c r="P11" s="104" t="s">
        <v>449</v>
      </c>
      <c r="Q11" s="104"/>
      <c r="R11" s="104"/>
    </row>
    <row r="12" spans="1:19">
      <c r="B12" s="102" t="s">
        <v>557</v>
      </c>
      <c r="G12" s="144">
        <f>'Area Matrix'!D21</f>
        <v>332873</v>
      </c>
      <c r="J12" s="102" t="s">
        <v>509</v>
      </c>
      <c r="M12" s="107">
        <f>G12*G16</f>
        <v>13524629.99</v>
      </c>
      <c r="N12" s="108">
        <f>M12/G12</f>
        <v>40.630000000000003</v>
      </c>
      <c r="P12" s="102" t="s">
        <v>591</v>
      </c>
      <c r="R12" s="107">
        <f ca="1">SUM('Area Matrix'!D36,'Area Matrix'!H36,'Area Matrix'!L36,'Area Matrix'!P36,'Area Matrix'!T36)</f>
        <v>105888542.34300376</v>
      </c>
    </row>
    <row r="13" spans="1:19">
      <c r="J13" s="102" t="s">
        <v>521</v>
      </c>
      <c r="M13" s="107">
        <f>-M12*G19</f>
        <v>-1352462.9990000001</v>
      </c>
      <c r="N13" s="103"/>
      <c r="P13" s="109" t="s">
        <v>507</v>
      </c>
      <c r="R13" s="147">
        <f ca="1">R12*G26</f>
        <v>0</v>
      </c>
      <c r="S13" s="110"/>
    </row>
    <row r="14" spans="1:19">
      <c r="B14" s="104" t="s">
        <v>558</v>
      </c>
      <c r="C14" s="104"/>
      <c r="D14" s="104"/>
      <c r="E14" s="104"/>
      <c r="F14" s="104"/>
      <c r="G14" s="104"/>
      <c r="H14" s="104"/>
      <c r="I14" s="105"/>
      <c r="J14" s="111" t="s">
        <v>522</v>
      </c>
      <c r="K14" s="111"/>
      <c r="L14" s="111"/>
      <c r="M14" s="112">
        <f>M12+M13</f>
        <v>12172166.991</v>
      </c>
      <c r="N14" s="113"/>
      <c r="P14" s="114" t="s">
        <v>453</v>
      </c>
      <c r="Q14" s="111"/>
      <c r="R14" s="112">
        <f ca="1">SUM(R12:R13)</f>
        <v>105888542.34300376</v>
      </c>
      <c r="S14" s="115"/>
    </row>
    <row r="15" spans="1:19">
      <c r="B15" s="102" t="s">
        <v>559</v>
      </c>
      <c r="G15" s="660">
        <v>15</v>
      </c>
      <c r="H15" s="102" t="s">
        <v>560</v>
      </c>
      <c r="N15" s="103"/>
    </row>
    <row r="16" spans="1:19">
      <c r="B16" s="102" t="s">
        <v>561</v>
      </c>
      <c r="G16" s="661">
        <v>40.630000000000003</v>
      </c>
      <c r="H16" s="102" t="s">
        <v>562</v>
      </c>
      <c r="J16" s="116" t="s">
        <v>11</v>
      </c>
      <c r="N16" s="103"/>
      <c r="P16" s="104" t="s">
        <v>499</v>
      </c>
      <c r="Q16" s="104"/>
      <c r="R16" s="104"/>
    </row>
    <row r="17" spans="2:18">
      <c r="B17" s="102" t="s">
        <v>563</v>
      </c>
      <c r="G17" s="657">
        <v>0.03</v>
      </c>
      <c r="H17" s="102" t="s">
        <v>564</v>
      </c>
      <c r="J17" s="102" t="s">
        <v>565</v>
      </c>
      <c r="M17" s="107">
        <f>N17*$G$12</f>
        <v>499309.5</v>
      </c>
      <c r="N17" s="656">
        <v>1.5</v>
      </c>
      <c r="P17" s="109" t="s">
        <v>478</v>
      </c>
      <c r="R17" s="107">
        <f ca="1">G32</f>
        <v>74121979.640102625</v>
      </c>
    </row>
    <row r="18" spans="2:18">
      <c r="B18" s="102" t="s">
        <v>566</v>
      </c>
      <c r="G18" s="657">
        <v>0.02</v>
      </c>
      <c r="J18" s="102" t="s">
        <v>567</v>
      </c>
      <c r="M18" s="107">
        <f>N18*$G$12</f>
        <v>499309.5</v>
      </c>
      <c r="N18" s="656">
        <v>1.5</v>
      </c>
      <c r="P18" s="109" t="s">
        <v>28</v>
      </c>
      <c r="R18" s="107">
        <f ca="1">R19-R17</f>
        <v>31766562.70290114</v>
      </c>
    </row>
    <row r="19" spans="2:18">
      <c r="B19" s="102" t="s">
        <v>568</v>
      </c>
      <c r="G19" s="657">
        <v>0.1</v>
      </c>
      <c r="H19" s="102" t="s">
        <v>590</v>
      </c>
      <c r="J19" s="102" t="s">
        <v>36</v>
      </c>
      <c r="M19" s="107">
        <f>N19*$G$12</f>
        <v>665746</v>
      </c>
      <c r="N19" s="656">
        <v>2</v>
      </c>
      <c r="P19" s="114" t="s">
        <v>458</v>
      </c>
      <c r="Q19" s="111"/>
      <c r="R19" s="112">
        <f ca="1">R14</f>
        <v>105888542.34300376</v>
      </c>
    </row>
    <row r="20" spans="2:18">
      <c r="B20" s="102" t="s">
        <v>569</v>
      </c>
      <c r="G20" s="661">
        <v>50</v>
      </c>
      <c r="H20" s="102" t="s">
        <v>570</v>
      </c>
      <c r="J20" s="381" t="s">
        <v>728</v>
      </c>
      <c r="M20" s="107">
        <f>N20*$M$12</f>
        <v>540985.19960000005</v>
      </c>
      <c r="N20" s="382">
        <f>Taxes!$H$13</f>
        <v>0.04</v>
      </c>
    </row>
    <row r="21" spans="2:18">
      <c r="B21" s="102" t="s">
        <v>572</v>
      </c>
      <c r="G21" s="662">
        <v>0.06</v>
      </c>
      <c r="J21" s="102" t="s">
        <v>571</v>
      </c>
      <c r="M21" s="107">
        <f>N21*$M$12</f>
        <v>405738.89970000001</v>
      </c>
      <c r="N21" s="658">
        <v>0.03</v>
      </c>
      <c r="P21" s="102" t="s">
        <v>394</v>
      </c>
      <c r="R21" s="657">
        <v>0.08</v>
      </c>
    </row>
    <row r="22" spans="2:18">
      <c r="B22" s="102" t="s">
        <v>389</v>
      </c>
      <c r="G22" s="663">
        <v>5.8000000000000003E-2</v>
      </c>
      <c r="J22" s="111" t="s">
        <v>414</v>
      </c>
      <c r="K22" s="111"/>
      <c r="L22" s="111"/>
      <c r="M22" s="112">
        <f>SUM(M17:M21)</f>
        <v>2611089.0992999999</v>
      </c>
      <c r="N22" s="659">
        <v>4</v>
      </c>
    </row>
    <row r="23" spans="2:18">
      <c r="B23" s="102" t="s">
        <v>390</v>
      </c>
      <c r="G23" s="663">
        <v>5.5E-2</v>
      </c>
      <c r="N23" s="103"/>
    </row>
    <row r="24" spans="2:18">
      <c r="B24" s="102" t="s">
        <v>573</v>
      </c>
      <c r="G24" s="664">
        <v>0</v>
      </c>
      <c r="H24" s="102" t="s">
        <v>574</v>
      </c>
      <c r="J24" s="102" t="s">
        <v>575</v>
      </c>
      <c r="M24" s="107">
        <f>M14-M22</f>
        <v>9561077.8916999996</v>
      </c>
      <c r="N24" s="103"/>
    </row>
    <row r="25" spans="2:18">
      <c r="B25" s="102" t="s">
        <v>391</v>
      </c>
      <c r="G25" s="665">
        <v>10</v>
      </c>
      <c r="H25" s="102" t="s">
        <v>560</v>
      </c>
      <c r="M25" s="107"/>
      <c r="N25" s="103"/>
    </row>
    <row r="26" spans="2:18">
      <c r="B26" s="102" t="s">
        <v>393</v>
      </c>
      <c r="G26" s="662">
        <v>0</v>
      </c>
      <c r="J26" s="118"/>
      <c r="M26" s="107"/>
      <c r="N26" s="103"/>
    </row>
    <row r="27" spans="2:18">
      <c r="J27" s="118"/>
      <c r="N27" s="103"/>
    </row>
    <row r="28" spans="2:18">
      <c r="B28" s="104" t="s">
        <v>576</v>
      </c>
      <c r="C28" s="104"/>
      <c r="D28" s="104"/>
      <c r="E28" s="104"/>
      <c r="F28" s="104"/>
      <c r="G28" s="104"/>
      <c r="H28" s="104"/>
      <c r="I28" s="105"/>
      <c r="N28" s="103"/>
    </row>
    <row r="29" spans="2:18">
      <c r="B29" s="102" t="s">
        <v>577</v>
      </c>
      <c r="G29" s="657">
        <v>0.7</v>
      </c>
      <c r="H29" s="102" t="s">
        <v>578</v>
      </c>
      <c r="J29" s="115"/>
      <c r="N29" s="103"/>
    </row>
    <row r="30" spans="2:18">
      <c r="B30" s="102" t="s">
        <v>460</v>
      </c>
      <c r="G30" s="657">
        <v>0.05</v>
      </c>
      <c r="J30" s="115"/>
    </row>
    <row r="31" spans="2:18">
      <c r="B31" s="102" t="s">
        <v>540</v>
      </c>
      <c r="G31" s="660">
        <v>30</v>
      </c>
      <c r="H31" s="102" t="s">
        <v>579</v>
      </c>
    </row>
    <row r="32" spans="2:18">
      <c r="B32" s="102" t="s">
        <v>580</v>
      </c>
      <c r="G32" s="107">
        <f ca="1">G29*R14</f>
        <v>74121979.640102625</v>
      </c>
    </row>
    <row r="33" spans="1:37">
      <c r="B33" s="102" t="s">
        <v>581</v>
      </c>
      <c r="G33" s="107">
        <f ca="1">PMT(G30/12,G31*12,G32)</f>
        <v>-397902.81411272613</v>
      </c>
    </row>
    <row r="35" spans="1:37">
      <c r="A35" s="102" t="s">
        <v>472</v>
      </c>
      <c r="B35" s="104" t="s">
        <v>513</v>
      </c>
      <c r="C35" s="104"/>
      <c r="D35" s="104"/>
      <c r="E35" s="104"/>
      <c r="F35" s="104"/>
      <c r="G35" s="672">
        <v>0</v>
      </c>
      <c r="H35" s="119">
        <f>G35+1</f>
        <v>1</v>
      </c>
      <c r="I35" s="119">
        <f t="shared" ref="I35:R35" si="0">H35+1</f>
        <v>2</v>
      </c>
      <c r="J35" s="119">
        <f t="shared" si="0"/>
        <v>3</v>
      </c>
      <c r="K35" s="119">
        <f t="shared" si="0"/>
        <v>4</v>
      </c>
      <c r="L35" s="119">
        <f t="shared" si="0"/>
        <v>5</v>
      </c>
      <c r="M35" s="119">
        <f t="shared" si="0"/>
        <v>6</v>
      </c>
      <c r="N35" s="119">
        <f t="shared" si="0"/>
        <v>7</v>
      </c>
      <c r="O35" s="119">
        <f t="shared" si="0"/>
        <v>8</v>
      </c>
      <c r="P35" s="119">
        <f t="shared" si="0"/>
        <v>9</v>
      </c>
      <c r="Q35" s="119">
        <f t="shared" si="0"/>
        <v>10</v>
      </c>
      <c r="R35" s="119">
        <f t="shared" si="0"/>
        <v>11</v>
      </c>
      <c r="S35" s="119">
        <f t="shared" ref="S35" si="1">R35+1</f>
        <v>12</v>
      </c>
      <c r="T35" s="119">
        <f t="shared" ref="T35" si="2">S35+1</f>
        <v>13</v>
      </c>
      <c r="U35" s="119">
        <f t="shared" ref="U35" si="3">T35+1</f>
        <v>14</v>
      </c>
      <c r="V35" s="119">
        <f t="shared" ref="V35" si="4">U35+1</f>
        <v>15</v>
      </c>
      <c r="W35" s="119">
        <f t="shared" ref="W35" si="5">V35+1</f>
        <v>16</v>
      </c>
      <c r="X35" s="119">
        <f t="shared" ref="X35" si="6">W35+1</f>
        <v>17</v>
      </c>
      <c r="Y35" s="119">
        <f t="shared" ref="Y35" si="7">X35+1</f>
        <v>18</v>
      </c>
      <c r="Z35" s="119">
        <f t="shared" ref="Z35" si="8">Y35+1</f>
        <v>19</v>
      </c>
      <c r="AA35" s="119">
        <f t="shared" ref="AA35" si="9">Z35+1</f>
        <v>20</v>
      </c>
      <c r="AB35" s="119">
        <f t="shared" ref="AB35" si="10">AA35+1</f>
        <v>21</v>
      </c>
      <c r="AC35" s="119">
        <f t="shared" ref="AC35" si="11">AB35+1</f>
        <v>22</v>
      </c>
      <c r="AD35" s="119">
        <f t="shared" ref="AD35" si="12">AC35+1</f>
        <v>23</v>
      </c>
      <c r="AE35" s="119">
        <f t="shared" ref="AE35" si="13">AD35+1</f>
        <v>24</v>
      </c>
      <c r="AF35" s="119">
        <f t="shared" ref="AF35" si="14">AE35+1</f>
        <v>25</v>
      </c>
      <c r="AG35" s="119">
        <f t="shared" ref="AG35" si="15">AF35+1</f>
        <v>26</v>
      </c>
      <c r="AH35" s="119">
        <f t="shared" ref="AH35" si="16">AG35+1</f>
        <v>27</v>
      </c>
      <c r="AI35" s="119">
        <f t="shared" ref="AI35" si="17">AH35+1</f>
        <v>28</v>
      </c>
      <c r="AJ35" s="119">
        <f t="shared" ref="AJ35" si="18">AI35+1</f>
        <v>29</v>
      </c>
      <c r="AK35" s="119">
        <f t="shared" ref="AK35" si="19">AJ35+1</f>
        <v>30</v>
      </c>
    </row>
    <row r="36" spans="1:37">
      <c r="B36" s="102" t="s">
        <v>412</v>
      </c>
      <c r="H36" s="120">
        <f t="shared" ref="H36:AK36" si="20">1-$G$19</f>
        <v>0.9</v>
      </c>
      <c r="I36" s="120">
        <f t="shared" si="20"/>
        <v>0.9</v>
      </c>
      <c r="J36" s="120">
        <f t="shared" si="20"/>
        <v>0.9</v>
      </c>
      <c r="K36" s="120">
        <f t="shared" si="20"/>
        <v>0.9</v>
      </c>
      <c r="L36" s="120">
        <f t="shared" si="20"/>
        <v>0.9</v>
      </c>
      <c r="M36" s="120">
        <f t="shared" si="20"/>
        <v>0.9</v>
      </c>
      <c r="N36" s="120">
        <f t="shared" si="20"/>
        <v>0.9</v>
      </c>
      <c r="O36" s="120">
        <f t="shared" si="20"/>
        <v>0.9</v>
      </c>
      <c r="P36" s="120">
        <f t="shared" si="20"/>
        <v>0.9</v>
      </c>
      <c r="Q36" s="120">
        <f t="shared" si="20"/>
        <v>0.9</v>
      </c>
      <c r="R36" s="120">
        <f t="shared" si="20"/>
        <v>0.9</v>
      </c>
      <c r="S36" s="120">
        <f t="shared" si="20"/>
        <v>0.9</v>
      </c>
      <c r="T36" s="120">
        <f t="shared" si="20"/>
        <v>0.9</v>
      </c>
      <c r="U36" s="120">
        <f t="shared" si="20"/>
        <v>0.9</v>
      </c>
      <c r="V36" s="120">
        <f t="shared" si="20"/>
        <v>0.9</v>
      </c>
      <c r="W36" s="120">
        <f t="shared" si="20"/>
        <v>0.9</v>
      </c>
      <c r="X36" s="120">
        <f t="shared" si="20"/>
        <v>0.9</v>
      </c>
      <c r="Y36" s="120">
        <f t="shared" si="20"/>
        <v>0.9</v>
      </c>
      <c r="Z36" s="120">
        <f t="shared" si="20"/>
        <v>0.9</v>
      </c>
      <c r="AA36" s="120">
        <f t="shared" si="20"/>
        <v>0.9</v>
      </c>
      <c r="AB36" s="120">
        <f t="shared" si="20"/>
        <v>0.9</v>
      </c>
      <c r="AC36" s="120">
        <f t="shared" si="20"/>
        <v>0.9</v>
      </c>
      <c r="AD36" s="120">
        <f t="shared" si="20"/>
        <v>0.9</v>
      </c>
      <c r="AE36" s="120">
        <f t="shared" si="20"/>
        <v>0.9</v>
      </c>
      <c r="AF36" s="120">
        <f t="shared" si="20"/>
        <v>0.9</v>
      </c>
      <c r="AG36" s="120">
        <f t="shared" si="20"/>
        <v>0.9</v>
      </c>
      <c r="AH36" s="120">
        <f t="shared" si="20"/>
        <v>0.9</v>
      </c>
      <c r="AI36" s="120">
        <f t="shared" si="20"/>
        <v>0.9</v>
      </c>
      <c r="AJ36" s="120">
        <f t="shared" si="20"/>
        <v>0.9</v>
      </c>
      <c r="AK36" s="120">
        <f t="shared" si="20"/>
        <v>0.9</v>
      </c>
    </row>
    <row r="38" spans="1:37">
      <c r="B38" s="102" t="s">
        <v>595</v>
      </c>
      <c r="G38" s="107">
        <f ca="1">-R14</f>
        <v>-105888542.34300376</v>
      </c>
    </row>
    <row r="39" spans="1:37">
      <c r="I39" s="121"/>
    </row>
    <row r="40" spans="1:37">
      <c r="B40" s="102" t="s">
        <v>509</v>
      </c>
      <c r="H40" s="107">
        <f t="shared" ref="H40:R40" si="21">$M$12*(1+$G$17)^G35</f>
        <v>13524629.99</v>
      </c>
      <c r="I40" s="107">
        <f t="shared" si="21"/>
        <v>13930368.889700001</v>
      </c>
      <c r="J40" s="107">
        <f t="shared" si="21"/>
        <v>14348279.956390999</v>
      </c>
      <c r="K40" s="107">
        <f t="shared" si="21"/>
        <v>14778728.35508273</v>
      </c>
      <c r="L40" s="107">
        <f t="shared" si="21"/>
        <v>15222090.20573521</v>
      </c>
      <c r="M40" s="107">
        <f t="shared" si="21"/>
        <v>15678752.911907267</v>
      </c>
      <c r="N40" s="107">
        <f t="shared" si="21"/>
        <v>16149115.499264486</v>
      </c>
      <c r="O40" s="107">
        <f t="shared" si="21"/>
        <v>16633588.964242421</v>
      </c>
      <c r="P40" s="107">
        <f t="shared" si="21"/>
        <v>17132596.633169692</v>
      </c>
      <c r="Q40" s="107">
        <f t="shared" si="21"/>
        <v>17646574.532164782</v>
      </c>
      <c r="R40" s="107">
        <f t="shared" si="21"/>
        <v>18175971.768129725</v>
      </c>
      <c r="S40" s="107">
        <f t="shared" ref="S40" si="22">$M$12*(1+$G$17)^R35</f>
        <v>18721250.921173617</v>
      </c>
      <c r="T40" s="107">
        <f t="shared" ref="T40" si="23">$M$12*(1+$G$17)^S35</f>
        <v>19282888.448808823</v>
      </c>
      <c r="U40" s="107">
        <f t="shared" ref="U40" si="24">$M$12*(1+$G$17)^T35</f>
        <v>19861375.102273088</v>
      </c>
      <c r="V40" s="107">
        <f t="shared" ref="V40" si="25">$M$12*(1+$G$17)^U35</f>
        <v>20457216.355341282</v>
      </c>
      <c r="W40" s="107">
        <f t="shared" ref="W40" si="26">$M$12*(1+$G$17)^V35</f>
        <v>21070932.846001524</v>
      </c>
      <c r="X40" s="107">
        <f t="shared" ref="X40" si="27">$M$12*(1+$G$17)^W35</f>
        <v>21703060.831381563</v>
      </c>
      <c r="Y40" s="107">
        <f t="shared" ref="Y40" si="28">$M$12*(1+$G$17)^X35</f>
        <v>22354152.656323012</v>
      </c>
      <c r="Z40" s="107">
        <f t="shared" ref="Z40" si="29">$M$12*(1+$G$17)^Y35</f>
        <v>23024777.236012701</v>
      </c>
      <c r="AA40" s="107">
        <f t="shared" ref="AA40" si="30">$M$12*(1+$G$17)^Z35</f>
        <v>23715520.553093083</v>
      </c>
      <c r="AB40" s="107">
        <f t="shared" ref="AB40" si="31">$M$12*(1+$G$17)^AA35</f>
        <v>24426986.169685874</v>
      </c>
      <c r="AC40" s="107">
        <f t="shared" ref="AC40" si="32">$M$12*(1+$G$17)^AB35</f>
        <v>25159795.754776448</v>
      </c>
      <c r="AD40" s="107">
        <f t="shared" ref="AD40" si="33">$M$12*(1+$G$17)^AC35</f>
        <v>25914589.627419744</v>
      </c>
      <c r="AE40" s="107">
        <f t="shared" ref="AE40" si="34">$M$12*(1+$G$17)^AD35</f>
        <v>26692027.316242337</v>
      </c>
      <c r="AF40" s="107">
        <f t="shared" ref="AF40" si="35">$M$12*(1+$G$17)^AE35</f>
        <v>27492788.135729603</v>
      </c>
      <c r="AG40" s="107">
        <f t="shared" ref="AG40" si="36">$M$12*(1+$G$17)^AF35</f>
        <v>28317571.779801492</v>
      </c>
      <c r="AH40" s="107">
        <f t="shared" ref="AH40" si="37">$M$12*(1+$G$17)^AG35</f>
        <v>29167098.933195539</v>
      </c>
      <c r="AI40" s="107">
        <f t="shared" ref="AI40" si="38">$M$12*(1+$G$17)^AH35</f>
        <v>30042111.901191402</v>
      </c>
      <c r="AJ40" s="107">
        <f t="shared" ref="AJ40" si="39">$M$12*(1+$G$17)^AI35</f>
        <v>30943375.258227143</v>
      </c>
      <c r="AK40" s="107">
        <f t="shared" ref="AK40" si="40">$M$12*(1+$G$17)^AJ35</f>
        <v>31871676.515973955</v>
      </c>
    </row>
    <row r="41" spans="1:37">
      <c r="C41" s="102" t="s">
        <v>521</v>
      </c>
      <c r="H41" s="107">
        <f>-(1-H36)*H40</f>
        <v>-1352462.9989999998</v>
      </c>
      <c r="I41" s="107">
        <f t="shared" ref="I41:R41" si="41">-(1-I36)*I40</f>
        <v>-1393036.8889699997</v>
      </c>
      <c r="J41" s="107">
        <f t="shared" si="41"/>
        <v>-1434827.9956390995</v>
      </c>
      <c r="K41" s="107">
        <f t="shared" si="41"/>
        <v>-1477872.8355082728</v>
      </c>
      <c r="L41" s="107">
        <f t="shared" si="41"/>
        <v>-1522209.0205735208</v>
      </c>
      <c r="M41" s="107">
        <f t="shared" si="41"/>
        <v>-1567875.2911907264</v>
      </c>
      <c r="N41" s="107">
        <f t="shared" si="41"/>
        <v>-1614911.5499264481</v>
      </c>
      <c r="O41" s="107">
        <f t="shared" si="41"/>
        <v>-1663358.8964242418</v>
      </c>
      <c r="P41" s="107">
        <f t="shared" si="41"/>
        <v>-1713259.6633169688</v>
      </c>
      <c r="Q41" s="107">
        <f t="shared" si="41"/>
        <v>-1764657.4532164778</v>
      </c>
      <c r="R41" s="107">
        <f t="shared" si="41"/>
        <v>-1817597.1768129722</v>
      </c>
      <c r="S41" s="107">
        <f t="shared" ref="S41:AK41" si="42">-(1-S36)*S40</f>
        <v>-1872125.0921173613</v>
      </c>
      <c r="T41" s="107">
        <f t="shared" si="42"/>
        <v>-1928288.844880882</v>
      </c>
      <c r="U41" s="107">
        <f t="shared" si="42"/>
        <v>-1986137.5102273084</v>
      </c>
      <c r="V41" s="107">
        <f t="shared" si="42"/>
        <v>-2045721.6355341277</v>
      </c>
      <c r="W41" s="107">
        <f t="shared" si="42"/>
        <v>-2107093.2846001522</v>
      </c>
      <c r="X41" s="107">
        <f t="shared" si="42"/>
        <v>-2170306.0831381558</v>
      </c>
      <c r="Y41" s="107">
        <f t="shared" si="42"/>
        <v>-2235415.2656323006</v>
      </c>
      <c r="Z41" s="107">
        <f t="shared" si="42"/>
        <v>-2302477.7236012695</v>
      </c>
      <c r="AA41" s="107">
        <f t="shared" si="42"/>
        <v>-2371552.0553093078</v>
      </c>
      <c r="AB41" s="107">
        <f t="shared" si="42"/>
        <v>-2442698.616968587</v>
      </c>
      <c r="AC41" s="107">
        <f t="shared" si="42"/>
        <v>-2515979.5754776443</v>
      </c>
      <c r="AD41" s="107">
        <f t="shared" si="42"/>
        <v>-2591458.9627419738</v>
      </c>
      <c r="AE41" s="107">
        <f t="shared" si="42"/>
        <v>-2669202.7316242331</v>
      </c>
      <c r="AF41" s="107">
        <f t="shared" si="42"/>
        <v>-2749278.8135729595</v>
      </c>
      <c r="AG41" s="107">
        <f t="shared" si="42"/>
        <v>-2831757.1779801487</v>
      </c>
      <c r="AH41" s="107">
        <f t="shared" si="42"/>
        <v>-2916709.8933195532</v>
      </c>
      <c r="AI41" s="107">
        <f t="shared" si="42"/>
        <v>-3004211.1901191394</v>
      </c>
      <c r="AJ41" s="107">
        <f t="shared" si="42"/>
        <v>-3094337.5258227135</v>
      </c>
      <c r="AK41" s="107">
        <f t="shared" si="42"/>
        <v>-3187167.6515973946</v>
      </c>
    </row>
    <row r="42" spans="1:37">
      <c r="C42" s="102" t="s">
        <v>573</v>
      </c>
      <c r="H42" s="667">
        <v>0</v>
      </c>
      <c r="I42" s="667">
        <v>0</v>
      </c>
      <c r="J42" s="667">
        <v>0</v>
      </c>
      <c r="K42" s="667">
        <v>0</v>
      </c>
      <c r="L42" s="667">
        <v>0</v>
      </c>
      <c r="M42" s="667">
        <v>0</v>
      </c>
      <c r="N42" s="667">
        <v>0</v>
      </c>
      <c r="O42" s="667">
        <v>0</v>
      </c>
      <c r="P42" s="667">
        <v>0</v>
      </c>
      <c r="Q42" s="667">
        <v>0</v>
      </c>
      <c r="R42" s="667">
        <v>0</v>
      </c>
      <c r="S42" s="667">
        <v>0</v>
      </c>
      <c r="T42" s="667">
        <v>0</v>
      </c>
      <c r="U42" s="667">
        <v>0</v>
      </c>
      <c r="V42" s="667">
        <v>0</v>
      </c>
      <c r="W42" s="667">
        <v>0</v>
      </c>
      <c r="X42" s="667">
        <v>0</v>
      </c>
      <c r="Y42" s="667">
        <v>0</v>
      </c>
      <c r="Z42" s="667">
        <v>0</v>
      </c>
      <c r="AA42" s="667">
        <v>0</v>
      </c>
      <c r="AB42" s="667">
        <v>0</v>
      </c>
      <c r="AC42" s="667">
        <v>0</v>
      </c>
      <c r="AD42" s="667">
        <v>0</v>
      </c>
      <c r="AE42" s="667">
        <v>0</v>
      </c>
      <c r="AF42" s="667">
        <v>0</v>
      </c>
      <c r="AG42" s="667">
        <v>0</v>
      </c>
      <c r="AH42" s="667">
        <v>0</v>
      </c>
      <c r="AI42" s="667">
        <v>0</v>
      </c>
      <c r="AJ42" s="667">
        <v>0</v>
      </c>
      <c r="AK42" s="667">
        <v>0</v>
      </c>
    </row>
    <row r="43" spans="1:37">
      <c r="B43" s="111" t="s">
        <v>522</v>
      </c>
      <c r="C43" s="111"/>
      <c r="D43" s="111"/>
      <c r="E43" s="111"/>
      <c r="F43" s="111"/>
      <c r="G43" s="111"/>
      <c r="H43" s="112">
        <f>SUM(H40:H42)</f>
        <v>12172166.991</v>
      </c>
      <c r="I43" s="112">
        <f t="shared" ref="I43:R43" si="43">SUM(I40:I42)</f>
        <v>12537332.00073</v>
      </c>
      <c r="J43" s="112">
        <f t="shared" si="43"/>
        <v>12913451.9607519</v>
      </c>
      <c r="K43" s="112">
        <f t="shared" si="43"/>
        <v>13300855.519574458</v>
      </c>
      <c r="L43" s="112">
        <f t="shared" si="43"/>
        <v>13699881.185161689</v>
      </c>
      <c r="M43" s="112">
        <f t="shared" si="43"/>
        <v>14110877.62071654</v>
      </c>
      <c r="N43" s="112">
        <f t="shared" si="43"/>
        <v>14534203.949338038</v>
      </c>
      <c r="O43" s="112">
        <f t="shared" si="43"/>
        <v>14970230.06781818</v>
      </c>
      <c r="P43" s="112">
        <f t="shared" si="43"/>
        <v>15419336.969852723</v>
      </c>
      <c r="Q43" s="112">
        <f t="shared" si="43"/>
        <v>15881917.078948304</v>
      </c>
      <c r="R43" s="112">
        <f t="shared" si="43"/>
        <v>16358374.591316752</v>
      </c>
      <c r="S43" s="112">
        <f t="shared" ref="S43:AK43" si="44">SUM(S40:S42)</f>
        <v>16849125.829056256</v>
      </c>
      <c r="T43" s="112">
        <f t="shared" si="44"/>
        <v>17354599.60392794</v>
      </c>
      <c r="U43" s="112">
        <f t="shared" si="44"/>
        <v>17875237.59204578</v>
      </c>
      <c r="V43" s="112">
        <f t="shared" si="44"/>
        <v>18411494.719807155</v>
      </c>
      <c r="W43" s="112">
        <f t="shared" si="44"/>
        <v>18963839.561401371</v>
      </c>
      <c r="X43" s="112">
        <f t="shared" si="44"/>
        <v>19532754.748243406</v>
      </c>
      <c r="Y43" s="112">
        <f t="shared" si="44"/>
        <v>20118737.39069071</v>
      </c>
      <c r="Z43" s="112">
        <f t="shared" si="44"/>
        <v>20722299.51241143</v>
      </c>
      <c r="AA43" s="112">
        <f t="shared" si="44"/>
        <v>21343968.497783776</v>
      </c>
      <c r="AB43" s="112">
        <f t="shared" si="44"/>
        <v>21984287.552717287</v>
      </c>
      <c r="AC43" s="112">
        <f t="shared" si="44"/>
        <v>22643816.179298803</v>
      </c>
      <c r="AD43" s="112">
        <f t="shared" si="44"/>
        <v>23323130.664677769</v>
      </c>
      <c r="AE43" s="112">
        <f t="shared" si="44"/>
        <v>24022824.584618103</v>
      </c>
      <c r="AF43" s="112">
        <f t="shared" si="44"/>
        <v>24743509.322156645</v>
      </c>
      <c r="AG43" s="112">
        <f t="shared" si="44"/>
        <v>25485814.601821344</v>
      </c>
      <c r="AH43" s="112">
        <f t="shared" si="44"/>
        <v>26250389.039875984</v>
      </c>
      <c r="AI43" s="112">
        <f t="shared" si="44"/>
        <v>27037900.711072262</v>
      </c>
      <c r="AJ43" s="112">
        <f t="shared" si="44"/>
        <v>27849037.732404429</v>
      </c>
      <c r="AK43" s="112">
        <f t="shared" si="44"/>
        <v>28684508.86437656</v>
      </c>
    </row>
    <row r="45" spans="1:37">
      <c r="B45" s="102" t="s">
        <v>413</v>
      </c>
    </row>
    <row r="46" spans="1:37">
      <c r="C46" s="102" t="str">
        <f>J17</f>
        <v>Repairs and Maintenance</v>
      </c>
      <c r="H46" s="107">
        <f t="shared" ref="H46:R49" si="45">$M17*(1+$G$18)^G$35</f>
        <v>499309.5</v>
      </c>
      <c r="I46" s="107">
        <f t="shared" si="45"/>
        <v>509295.69</v>
      </c>
      <c r="J46" s="107">
        <f t="shared" si="45"/>
        <v>519481.60379999998</v>
      </c>
      <c r="K46" s="107">
        <f t="shared" si="45"/>
        <v>529871.23587600002</v>
      </c>
      <c r="L46" s="107">
        <f t="shared" si="45"/>
        <v>540468.66059352004</v>
      </c>
      <c r="M46" s="107">
        <f t="shared" si="45"/>
        <v>551278.03380539035</v>
      </c>
      <c r="N46" s="107">
        <f t="shared" si="45"/>
        <v>562303.59448149824</v>
      </c>
      <c r="O46" s="107">
        <f t="shared" si="45"/>
        <v>573549.66637112806</v>
      </c>
      <c r="P46" s="107">
        <f t="shared" si="45"/>
        <v>585020.65969855071</v>
      </c>
      <c r="Q46" s="107">
        <f t="shared" si="45"/>
        <v>596721.07289252174</v>
      </c>
      <c r="R46" s="107">
        <f t="shared" si="45"/>
        <v>608655.49435037212</v>
      </c>
      <c r="S46" s="107">
        <f t="shared" ref="S46:S49" si="46">$M17*(1+$G$18)^R$35</f>
        <v>620828.60423737951</v>
      </c>
      <c r="T46" s="107">
        <f t="shared" ref="T46:T49" si="47">$M17*(1+$G$18)^S$35</f>
        <v>633245.17632212723</v>
      </c>
      <c r="U46" s="107">
        <f t="shared" ref="U46:U49" si="48">$M17*(1+$G$18)^T$35</f>
        <v>645910.0798485697</v>
      </c>
      <c r="V46" s="107">
        <f t="shared" ref="V46:V49" si="49">$M17*(1+$G$18)^U$35</f>
        <v>658828.28144554119</v>
      </c>
      <c r="W46" s="107">
        <f t="shared" ref="W46:W49" si="50">$M17*(1+$G$18)^V$35</f>
        <v>672004.84707445186</v>
      </c>
      <c r="X46" s="107">
        <f t="shared" ref="X46:X49" si="51">$M17*(1+$G$18)^W$35</f>
        <v>685444.944015941</v>
      </c>
      <c r="Y46" s="107">
        <f t="shared" ref="Y46:Y49" si="52">$M17*(1+$G$18)^X$35</f>
        <v>699153.84289625986</v>
      </c>
      <c r="Z46" s="107">
        <f t="shared" ref="Z46:Z49" si="53">$M17*(1+$G$18)^Y$35</f>
        <v>713136.9197541849</v>
      </c>
      <c r="AA46" s="107">
        <f t="shared" ref="AA46:AA49" si="54">$M17*(1+$G$18)^Z$35</f>
        <v>727399.65814926859</v>
      </c>
      <c r="AB46" s="107">
        <f t="shared" ref="AB46:AB49" si="55">$M17*(1+$G$18)^AA$35</f>
        <v>741947.65131225402</v>
      </c>
      <c r="AC46" s="107">
        <f t="shared" ref="AC46:AC49" si="56">$M17*(1+$G$18)^AB$35</f>
        <v>756786.60433849914</v>
      </c>
      <c r="AD46" s="107">
        <f t="shared" ref="AD46:AD49" si="57">$M17*(1+$G$18)^AC$35</f>
        <v>771922.33642526914</v>
      </c>
      <c r="AE46" s="107">
        <f t="shared" ref="AE46:AE49" si="58">$M17*(1+$G$18)^AD$35</f>
        <v>787360.78315377433</v>
      </c>
      <c r="AF46" s="107">
        <f t="shared" ref="AF46:AF49" si="59">$M17*(1+$G$18)^AE$35</f>
        <v>803107.9988168499</v>
      </c>
      <c r="AG46" s="107">
        <f t="shared" ref="AG46:AG49" si="60">$M17*(1+$G$18)^AF$35</f>
        <v>819170.15879318689</v>
      </c>
      <c r="AH46" s="107">
        <f t="shared" ref="AH46:AH49" si="61">$M17*(1+$G$18)^AG$35</f>
        <v>835553.56196905067</v>
      </c>
      <c r="AI46" s="107">
        <f t="shared" ref="AI46:AI49" si="62">$M17*(1+$G$18)^AH$35</f>
        <v>852264.63320843154</v>
      </c>
      <c r="AJ46" s="107">
        <f t="shared" ref="AJ46:AJ49" si="63">$M17*(1+$G$18)^AI$35</f>
        <v>869309.9258726004</v>
      </c>
      <c r="AK46" s="107">
        <f t="shared" ref="AK46:AK49" si="64">$M17*(1+$G$18)^AJ$35</f>
        <v>886696.12439005228</v>
      </c>
    </row>
    <row r="47" spans="1:37">
      <c r="C47" s="102" t="str">
        <f>J18</f>
        <v>Administrative</v>
      </c>
      <c r="H47" s="107">
        <f t="shared" si="45"/>
        <v>499309.5</v>
      </c>
      <c r="I47" s="107">
        <f t="shared" si="45"/>
        <v>509295.69</v>
      </c>
      <c r="J47" s="107">
        <f t="shared" si="45"/>
        <v>519481.60379999998</v>
      </c>
      <c r="K47" s="107">
        <f t="shared" si="45"/>
        <v>529871.23587600002</v>
      </c>
      <c r="L47" s="107">
        <f t="shared" si="45"/>
        <v>540468.66059352004</v>
      </c>
      <c r="M47" s="107">
        <f t="shared" si="45"/>
        <v>551278.03380539035</v>
      </c>
      <c r="N47" s="107">
        <f t="shared" si="45"/>
        <v>562303.59448149824</v>
      </c>
      <c r="O47" s="107">
        <f t="shared" si="45"/>
        <v>573549.66637112806</v>
      </c>
      <c r="P47" s="107">
        <f t="shared" si="45"/>
        <v>585020.65969855071</v>
      </c>
      <c r="Q47" s="107">
        <f t="shared" si="45"/>
        <v>596721.07289252174</v>
      </c>
      <c r="R47" s="107">
        <f t="shared" si="45"/>
        <v>608655.49435037212</v>
      </c>
      <c r="S47" s="107">
        <f t="shared" si="46"/>
        <v>620828.60423737951</v>
      </c>
      <c r="T47" s="107">
        <f t="shared" si="47"/>
        <v>633245.17632212723</v>
      </c>
      <c r="U47" s="107">
        <f t="shared" si="48"/>
        <v>645910.0798485697</v>
      </c>
      <c r="V47" s="107">
        <f t="shared" si="49"/>
        <v>658828.28144554119</v>
      </c>
      <c r="W47" s="107">
        <f t="shared" si="50"/>
        <v>672004.84707445186</v>
      </c>
      <c r="X47" s="107">
        <f t="shared" si="51"/>
        <v>685444.944015941</v>
      </c>
      <c r="Y47" s="107">
        <f t="shared" si="52"/>
        <v>699153.84289625986</v>
      </c>
      <c r="Z47" s="107">
        <f t="shared" si="53"/>
        <v>713136.9197541849</v>
      </c>
      <c r="AA47" s="107">
        <f t="shared" si="54"/>
        <v>727399.65814926859</v>
      </c>
      <c r="AB47" s="107">
        <f t="shared" si="55"/>
        <v>741947.65131225402</v>
      </c>
      <c r="AC47" s="107">
        <f t="shared" si="56"/>
        <v>756786.60433849914</v>
      </c>
      <c r="AD47" s="107">
        <f t="shared" si="57"/>
        <v>771922.33642526914</v>
      </c>
      <c r="AE47" s="107">
        <f t="shared" si="58"/>
        <v>787360.78315377433</v>
      </c>
      <c r="AF47" s="107">
        <f t="shared" si="59"/>
        <v>803107.9988168499</v>
      </c>
      <c r="AG47" s="107">
        <f t="shared" si="60"/>
        <v>819170.15879318689</v>
      </c>
      <c r="AH47" s="107">
        <f t="shared" si="61"/>
        <v>835553.56196905067</v>
      </c>
      <c r="AI47" s="107">
        <f t="shared" si="62"/>
        <v>852264.63320843154</v>
      </c>
      <c r="AJ47" s="107">
        <f t="shared" si="63"/>
        <v>869309.9258726004</v>
      </c>
      <c r="AK47" s="107">
        <f t="shared" si="64"/>
        <v>886696.12439005228</v>
      </c>
    </row>
    <row r="48" spans="1:37">
      <c r="C48" s="102" t="str">
        <f>J19</f>
        <v>Utilities</v>
      </c>
      <c r="H48" s="107">
        <f t="shared" si="45"/>
        <v>665746</v>
      </c>
      <c r="I48" s="107">
        <f t="shared" si="45"/>
        <v>679060.92</v>
      </c>
      <c r="J48" s="107">
        <f t="shared" si="45"/>
        <v>692642.13839999994</v>
      </c>
      <c r="K48" s="107">
        <f t="shared" si="45"/>
        <v>706494.98116799991</v>
      </c>
      <c r="L48" s="107">
        <f t="shared" si="45"/>
        <v>720624.88079135993</v>
      </c>
      <c r="M48" s="107">
        <f t="shared" si="45"/>
        <v>735037.37840718718</v>
      </c>
      <c r="N48" s="107">
        <f t="shared" si="45"/>
        <v>749738.12597533094</v>
      </c>
      <c r="O48" s="107">
        <f t="shared" si="45"/>
        <v>764732.88849483745</v>
      </c>
      <c r="P48" s="107">
        <f t="shared" si="45"/>
        <v>780027.54626473424</v>
      </c>
      <c r="Q48" s="107">
        <f t="shared" si="45"/>
        <v>795628.09719002899</v>
      </c>
      <c r="R48" s="107">
        <f t="shared" si="45"/>
        <v>811540.65913382953</v>
      </c>
      <c r="S48" s="107">
        <f t="shared" si="46"/>
        <v>827771.47231650597</v>
      </c>
      <c r="T48" s="107">
        <f t="shared" si="47"/>
        <v>844326.90176283626</v>
      </c>
      <c r="U48" s="107">
        <f t="shared" si="48"/>
        <v>861213.43979809294</v>
      </c>
      <c r="V48" s="107">
        <f t="shared" si="49"/>
        <v>878437.70859405492</v>
      </c>
      <c r="W48" s="107">
        <f t="shared" si="50"/>
        <v>896006.46276593569</v>
      </c>
      <c r="X48" s="107">
        <f t="shared" si="51"/>
        <v>913926.59202125459</v>
      </c>
      <c r="Y48" s="107">
        <f t="shared" si="52"/>
        <v>932205.12386167981</v>
      </c>
      <c r="Z48" s="107">
        <f t="shared" si="53"/>
        <v>950849.22633891331</v>
      </c>
      <c r="AA48" s="107">
        <f t="shared" si="54"/>
        <v>969866.21086569154</v>
      </c>
      <c r="AB48" s="107">
        <f t="shared" si="55"/>
        <v>989263.53508300544</v>
      </c>
      <c r="AC48" s="107">
        <f t="shared" si="56"/>
        <v>1009048.8057846654</v>
      </c>
      <c r="AD48" s="107">
        <f t="shared" si="57"/>
        <v>1029229.7819003589</v>
      </c>
      <c r="AE48" s="107">
        <f t="shared" si="58"/>
        <v>1049814.3775383658</v>
      </c>
      <c r="AF48" s="107">
        <f t="shared" si="59"/>
        <v>1070810.6650891332</v>
      </c>
      <c r="AG48" s="107">
        <f t="shared" si="60"/>
        <v>1092226.8783909159</v>
      </c>
      <c r="AH48" s="107">
        <f t="shared" si="61"/>
        <v>1114071.4159587342</v>
      </c>
      <c r="AI48" s="107">
        <f t="shared" si="62"/>
        <v>1136352.8442779088</v>
      </c>
      <c r="AJ48" s="107">
        <f t="shared" si="63"/>
        <v>1159079.9011634672</v>
      </c>
      <c r="AK48" s="107">
        <f t="shared" si="64"/>
        <v>1182261.4991867363</v>
      </c>
    </row>
    <row r="49" spans="2:37">
      <c r="C49" s="102" t="str">
        <f>J20</f>
        <v>Real Estate Taxes</v>
      </c>
      <c r="H49" s="107">
        <f t="shared" si="45"/>
        <v>540985.19960000005</v>
      </c>
      <c r="I49" s="107">
        <f t="shared" ref="I49" si="65">$M20*(1+$G$18)^H$35</f>
        <v>551804.90359200002</v>
      </c>
      <c r="J49" s="107">
        <f t="shared" ref="J49" si="66">$M20*(1+$G$18)^I$35</f>
        <v>562841.00166384003</v>
      </c>
      <c r="K49" s="107">
        <f t="shared" ref="K49" si="67">$M20*(1+$G$18)^J$35</f>
        <v>574097.82169711683</v>
      </c>
      <c r="L49" s="107">
        <f t="shared" ref="L49" si="68">$M20*(1+$G$18)^K$35</f>
        <v>585579.77813105914</v>
      </c>
      <c r="M49" s="107">
        <f t="shared" ref="M49" si="69">$M20*(1+$G$18)^L$35</f>
        <v>597291.37369368039</v>
      </c>
      <c r="N49" s="107">
        <f t="shared" ref="N49" si="70">$M20*(1+$G$18)^M$35</f>
        <v>609237.20116755401</v>
      </c>
      <c r="O49" s="107">
        <f t="shared" ref="O49" si="71">$M20*(1+$G$18)^N$35</f>
        <v>621421.94519090501</v>
      </c>
      <c r="P49" s="107">
        <f t="shared" ref="P49" si="72">$M20*(1+$G$18)^O$35</f>
        <v>633850.38409472315</v>
      </c>
      <c r="Q49" s="107">
        <f t="shared" ref="Q49" si="73">$M20*(1+$G$18)^P$35</f>
        <v>646527.39177661762</v>
      </c>
      <c r="R49" s="107">
        <f t="shared" ref="R49" si="74">$M20*(1+$G$18)^Q$35</f>
        <v>659457.93961214996</v>
      </c>
      <c r="S49" s="107">
        <f t="shared" si="46"/>
        <v>672647.09840439283</v>
      </c>
      <c r="T49" s="107">
        <f t="shared" si="47"/>
        <v>686100.04037248075</v>
      </c>
      <c r="U49" s="107">
        <f t="shared" si="48"/>
        <v>699822.04117993033</v>
      </c>
      <c r="V49" s="107">
        <f t="shared" si="49"/>
        <v>713818.48200352909</v>
      </c>
      <c r="W49" s="107">
        <f t="shared" si="50"/>
        <v>728094.85164359945</v>
      </c>
      <c r="X49" s="107">
        <f t="shared" si="51"/>
        <v>742656.74867647153</v>
      </c>
      <c r="Y49" s="107">
        <f t="shared" si="52"/>
        <v>757509.88365000102</v>
      </c>
      <c r="Z49" s="107">
        <f t="shared" si="53"/>
        <v>772660.08132300095</v>
      </c>
      <c r="AA49" s="107">
        <f t="shared" si="54"/>
        <v>788113.28294946102</v>
      </c>
      <c r="AB49" s="107">
        <f t="shared" si="55"/>
        <v>803875.54860845034</v>
      </c>
      <c r="AC49" s="107">
        <f t="shared" si="56"/>
        <v>819953.05958061921</v>
      </c>
      <c r="AD49" s="107">
        <f t="shared" si="57"/>
        <v>836352.1207722316</v>
      </c>
      <c r="AE49" s="107">
        <f t="shared" si="58"/>
        <v>853079.16318767611</v>
      </c>
      <c r="AF49" s="107">
        <f t="shared" si="59"/>
        <v>870140.74645142967</v>
      </c>
      <c r="AG49" s="107">
        <f t="shared" si="60"/>
        <v>887543.5613804583</v>
      </c>
      <c r="AH49" s="107">
        <f t="shared" si="61"/>
        <v>905294.43260806752</v>
      </c>
      <c r="AI49" s="107">
        <f t="shared" si="62"/>
        <v>923400.32126022875</v>
      </c>
      <c r="AJ49" s="107">
        <f t="shared" si="63"/>
        <v>941868.32768543356</v>
      </c>
      <c r="AK49" s="107">
        <f t="shared" si="64"/>
        <v>960705.694239142</v>
      </c>
    </row>
    <row r="50" spans="2:37">
      <c r="C50" s="102" t="str">
        <f>J21</f>
        <v>Property Management Fee (% gross revenue)</v>
      </c>
      <c r="H50" s="107">
        <f t="shared" ref="H50:AK50" si="75">H40*$N$21</f>
        <v>405738.89970000001</v>
      </c>
      <c r="I50" s="107">
        <f t="shared" si="75"/>
        <v>417911.06669100001</v>
      </c>
      <c r="J50" s="107">
        <f t="shared" si="75"/>
        <v>430448.39869172993</v>
      </c>
      <c r="K50" s="107">
        <f t="shared" si="75"/>
        <v>443361.85065248189</v>
      </c>
      <c r="L50" s="107">
        <f t="shared" si="75"/>
        <v>456662.70617205632</v>
      </c>
      <c r="M50" s="107">
        <f t="shared" si="75"/>
        <v>470362.58735721797</v>
      </c>
      <c r="N50" s="107">
        <f t="shared" si="75"/>
        <v>484473.46497793455</v>
      </c>
      <c r="O50" s="107">
        <f t="shared" si="75"/>
        <v>499007.66892727261</v>
      </c>
      <c r="P50" s="107">
        <f t="shared" si="75"/>
        <v>513977.89899509074</v>
      </c>
      <c r="Q50" s="107">
        <f t="shared" si="75"/>
        <v>529397.23596494342</v>
      </c>
      <c r="R50" s="107">
        <f t="shared" si="75"/>
        <v>545279.15304389177</v>
      </c>
      <c r="S50" s="107">
        <f t="shared" si="75"/>
        <v>561637.52763520845</v>
      </c>
      <c r="T50" s="107">
        <f t="shared" si="75"/>
        <v>578486.6534642647</v>
      </c>
      <c r="U50" s="107">
        <f t="shared" si="75"/>
        <v>595841.25306819263</v>
      </c>
      <c r="V50" s="107">
        <f t="shared" si="75"/>
        <v>613716.49066023843</v>
      </c>
      <c r="W50" s="107">
        <f t="shared" si="75"/>
        <v>632127.98538004572</v>
      </c>
      <c r="X50" s="107">
        <f t="shared" si="75"/>
        <v>651091.82494144689</v>
      </c>
      <c r="Y50" s="107">
        <f t="shared" si="75"/>
        <v>670624.57968969038</v>
      </c>
      <c r="Z50" s="107">
        <f t="shared" si="75"/>
        <v>690743.31708038098</v>
      </c>
      <c r="AA50" s="107">
        <f t="shared" si="75"/>
        <v>711465.61659279244</v>
      </c>
      <c r="AB50" s="107">
        <f t="shared" si="75"/>
        <v>732809.58509057621</v>
      </c>
      <c r="AC50" s="107">
        <f t="shared" si="75"/>
        <v>754793.87264329346</v>
      </c>
      <c r="AD50" s="107">
        <f t="shared" si="75"/>
        <v>777437.68882259226</v>
      </c>
      <c r="AE50" s="107">
        <f t="shared" si="75"/>
        <v>800760.81948727008</v>
      </c>
      <c r="AF50" s="107">
        <f t="shared" si="75"/>
        <v>824783.64407188806</v>
      </c>
      <c r="AG50" s="107">
        <f t="shared" si="75"/>
        <v>849527.15339404473</v>
      </c>
      <c r="AH50" s="107">
        <f t="shared" si="75"/>
        <v>875012.96799586609</v>
      </c>
      <c r="AI50" s="107">
        <f t="shared" si="75"/>
        <v>901263.35703574202</v>
      </c>
      <c r="AJ50" s="107">
        <f t="shared" si="75"/>
        <v>928301.25774681428</v>
      </c>
      <c r="AK50" s="107">
        <f t="shared" si="75"/>
        <v>956150.29547921859</v>
      </c>
    </row>
    <row r="51" spans="2:37">
      <c r="B51" s="111" t="s">
        <v>414</v>
      </c>
      <c r="C51" s="111"/>
      <c r="D51" s="111"/>
      <c r="E51" s="111"/>
      <c r="F51" s="111"/>
      <c r="G51" s="111"/>
      <c r="H51" s="112">
        <f t="shared" ref="H51:R51" si="76">SUM(H46:H50)</f>
        <v>2611089.0992999999</v>
      </c>
      <c r="I51" s="112">
        <f t="shared" si="76"/>
        <v>2667368.2702830001</v>
      </c>
      <c r="J51" s="112">
        <f t="shared" si="76"/>
        <v>2724894.7463555699</v>
      </c>
      <c r="K51" s="112">
        <f t="shared" si="76"/>
        <v>2783697.1252695988</v>
      </c>
      <c r="L51" s="112">
        <f t="shared" si="76"/>
        <v>2843804.6862815153</v>
      </c>
      <c r="M51" s="112">
        <f t="shared" si="76"/>
        <v>2905247.4070688663</v>
      </c>
      <c r="N51" s="112">
        <f t="shared" si="76"/>
        <v>2968055.9810838159</v>
      </c>
      <c r="O51" s="112">
        <f t="shared" si="76"/>
        <v>3032261.8353552716</v>
      </c>
      <c r="P51" s="112">
        <f t="shared" si="76"/>
        <v>3097897.1487516495</v>
      </c>
      <c r="Q51" s="112">
        <f t="shared" si="76"/>
        <v>3164994.8707166333</v>
      </c>
      <c r="R51" s="112">
        <f t="shared" si="76"/>
        <v>3233588.7404906158</v>
      </c>
      <c r="S51" s="112">
        <f t="shared" ref="S51" si="77">SUM(S46:S50)</f>
        <v>3303713.3068308663</v>
      </c>
      <c r="T51" s="112">
        <f t="shared" ref="T51" si="78">SUM(T46:T50)</f>
        <v>3375403.9482438359</v>
      </c>
      <c r="U51" s="112">
        <f t="shared" ref="U51" si="79">SUM(U46:U50)</f>
        <v>3448696.8937433548</v>
      </c>
      <c r="V51" s="112">
        <f t="shared" ref="V51" si="80">SUM(V46:V50)</f>
        <v>3523629.2441489049</v>
      </c>
      <c r="W51" s="112">
        <f t="shared" ref="W51" si="81">SUM(W46:W50)</f>
        <v>3600238.9939384847</v>
      </c>
      <c r="X51" s="112">
        <f t="shared" ref="X51" si="82">SUM(X46:X50)</f>
        <v>3678565.053671055</v>
      </c>
      <c r="Y51" s="112">
        <f t="shared" ref="Y51" si="83">SUM(Y46:Y50)</f>
        <v>3758647.272993891</v>
      </c>
      <c r="Z51" s="112">
        <f t="shared" ref="Z51" si="84">SUM(Z46:Z50)</f>
        <v>3840526.4642506652</v>
      </c>
      <c r="AA51" s="112">
        <f t="shared" ref="AA51" si="85">SUM(AA46:AA50)</f>
        <v>3924244.4267064822</v>
      </c>
      <c r="AB51" s="112">
        <f t="shared" ref="AB51" si="86">SUM(AB46:AB50)</f>
        <v>4009843.9714065399</v>
      </c>
      <c r="AC51" s="112">
        <f t="shared" ref="AC51" si="87">SUM(AC46:AC50)</f>
        <v>4097368.9466855763</v>
      </c>
      <c r="AD51" s="112">
        <f t="shared" ref="AD51" si="88">SUM(AD46:AD50)</f>
        <v>4186864.2643457209</v>
      </c>
      <c r="AE51" s="112">
        <f t="shared" ref="AE51" si="89">SUM(AE46:AE50)</f>
        <v>4278375.9265208608</v>
      </c>
      <c r="AF51" s="112">
        <f t="shared" ref="AF51" si="90">SUM(AF46:AF50)</f>
        <v>4371951.0532461507</v>
      </c>
      <c r="AG51" s="112">
        <f t="shared" ref="AG51" si="91">SUM(AG46:AG50)</f>
        <v>4467637.9107517926</v>
      </c>
      <c r="AH51" s="112">
        <f t="shared" ref="AH51" si="92">SUM(AH46:AH50)</f>
        <v>4565485.9405007688</v>
      </c>
      <c r="AI51" s="112">
        <f t="shared" ref="AI51" si="93">SUM(AI46:AI50)</f>
        <v>4665545.7889907425</v>
      </c>
      <c r="AJ51" s="112">
        <f t="shared" ref="AJ51" si="94">SUM(AJ46:AJ50)</f>
        <v>4767869.3383409157</v>
      </c>
      <c r="AK51" s="112">
        <f t="shared" ref="AK51" si="95">SUM(AK46:AK50)</f>
        <v>4872509.7376852017</v>
      </c>
    </row>
    <row r="53" spans="2:37">
      <c r="B53" s="102" t="s">
        <v>524</v>
      </c>
      <c r="H53" s="107">
        <f t="shared" ref="H53:R53" si="96">H43-H51</f>
        <v>9561077.8916999996</v>
      </c>
      <c r="I53" s="107">
        <f t="shared" si="96"/>
        <v>9869963.7304469999</v>
      </c>
      <c r="J53" s="107">
        <f t="shared" si="96"/>
        <v>10188557.214396331</v>
      </c>
      <c r="K53" s="107">
        <f t="shared" si="96"/>
        <v>10517158.394304859</v>
      </c>
      <c r="L53" s="107">
        <f t="shared" si="96"/>
        <v>10856076.498880174</v>
      </c>
      <c r="M53" s="107">
        <f t="shared" si="96"/>
        <v>11205630.213647675</v>
      </c>
      <c r="N53" s="107">
        <f t="shared" si="96"/>
        <v>11566147.968254222</v>
      </c>
      <c r="O53" s="107">
        <f t="shared" si="96"/>
        <v>11937968.232462909</v>
      </c>
      <c r="P53" s="107">
        <f t="shared" si="96"/>
        <v>12321439.821101073</v>
      </c>
      <c r="Q53" s="107">
        <f t="shared" si="96"/>
        <v>12716922.208231671</v>
      </c>
      <c r="R53" s="107">
        <f t="shared" si="96"/>
        <v>13124785.850826137</v>
      </c>
      <c r="S53" s="107">
        <f t="shared" ref="S53:AK53" si="97">S43-S51</f>
        <v>13545412.522225389</v>
      </c>
      <c r="T53" s="107">
        <f t="shared" si="97"/>
        <v>13979195.655684104</v>
      </c>
      <c r="U53" s="107">
        <f t="shared" si="97"/>
        <v>14426540.698302425</v>
      </c>
      <c r="V53" s="107">
        <f t="shared" si="97"/>
        <v>14887865.475658251</v>
      </c>
      <c r="W53" s="107">
        <f t="shared" si="97"/>
        <v>15363600.567462886</v>
      </c>
      <c r="X53" s="107">
        <f t="shared" si="97"/>
        <v>15854189.694572352</v>
      </c>
      <c r="Y53" s="107">
        <f t="shared" si="97"/>
        <v>16360090.11769682</v>
      </c>
      <c r="Z53" s="107">
        <f t="shared" si="97"/>
        <v>16881773.048160765</v>
      </c>
      <c r="AA53" s="107">
        <f t="shared" si="97"/>
        <v>17419724.071077295</v>
      </c>
      <c r="AB53" s="107">
        <f t="shared" si="97"/>
        <v>17974443.581310749</v>
      </c>
      <c r="AC53" s="107">
        <f t="shared" si="97"/>
        <v>18546447.232613228</v>
      </c>
      <c r="AD53" s="107">
        <f t="shared" si="97"/>
        <v>19136266.400332049</v>
      </c>
      <c r="AE53" s="107">
        <f t="shared" si="97"/>
        <v>19744448.658097241</v>
      </c>
      <c r="AF53" s="107">
        <f t="shared" si="97"/>
        <v>20371558.268910494</v>
      </c>
      <c r="AG53" s="107">
        <f t="shared" si="97"/>
        <v>21018176.691069551</v>
      </c>
      <c r="AH53" s="107">
        <f t="shared" si="97"/>
        <v>21684903.099375214</v>
      </c>
      <c r="AI53" s="107">
        <f t="shared" si="97"/>
        <v>22372354.922081519</v>
      </c>
      <c r="AJ53" s="107">
        <f t="shared" si="97"/>
        <v>23081168.394063514</v>
      </c>
      <c r="AK53" s="107">
        <f t="shared" si="97"/>
        <v>23811999.126691356</v>
      </c>
    </row>
    <row r="55" spans="2:37">
      <c r="B55" s="102" t="s">
        <v>582</v>
      </c>
    </row>
    <row r="56" spans="2:37">
      <c r="C56" s="102" t="s">
        <v>583</v>
      </c>
      <c r="H56" s="107">
        <f>-IF($G$25=10,SUM(H88:R88)*G12,SUM(H88:L88)*$G$12)</f>
        <v>-10393241.862347238</v>
      </c>
    </row>
    <row r="57" spans="2:37">
      <c r="C57" s="102" t="s">
        <v>584</v>
      </c>
      <c r="H57" s="107">
        <f>-G20*G12</f>
        <v>-16643650</v>
      </c>
    </row>
    <row r="59" spans="2:37">
      <c r="B59" s="102" t="s">
        <v>6</v>
      </c>
      <c r="G59" s="107">
        <f t="shared" ref="G59:R59" ca="1" si="98">IF(G35&lt;=$G$25+1,G38+G53+SUM(G56:G57),0)</f>
        <v>-105888542.34300376</v>
      </c>
      <c r="H59" s="107">
        <f t="shared" si="98"/>
        <v>-17475813.970647238</v>
      </c>
      <c r="I59" s="107">
        <f t="shared" si="98"/>
        <v>9869963.7304469999</v>
      </c>
      <c r="J59" s="107">
        <f t="shared" si="98"/>
        <v>10188557.214396331</v>
      </c>
      <c r="K59" s="107">
        <f t="shared" si="98"/>
        <v>10517158.394304859</v>
      </c>
      <c r="L59" s="107">
        <f t="shared" si="98"/>
        <v>10856076.498880174</v>
      </c>
      <c r="M59" s="107">
        <f t="shared" si="98"/>
        <v>11205630.213647675</v>
      </c>
      <c r="N59" s="107">
        <f t="shared" si="98"/>
        <v>11566147.968254222</v>
      </c>
      <c r="O59" s="107">
        <f t="shared" si="98"/>
        <v>11937968.232462909</v>
      </c>
      <c r="P59" s="107">
        <f t="shared" si="98"/>
        <v>12321439.821101073</v>
      </c>
      <c r="Q59" s="107">
        <f t="shared" si="98"/>
        <v>12716922.208231671</v>
      </c>
      <c r="R59" s="107">
        <f t="shared" si="98"/>
        <v>13124785.850826137</v>
      </c>
      <c r="S59" s="107">
        <f t="shared" ref="S59:AK59" si="99">IF(S35&lt;=$G$25+1,S38+S53+SUM(S56:S57),0)</f>
        <v>0</v>
      </c>
      <c r="T59" s="107">
        <f t="shared" si="99"/>
        <v>0</v>
      </c>
      <c r="U59" s="107">
        <f t="shared" si="99"/>
        <v>0</v>
      </c>
      <c r="V59" s="107">
        <f t="shared" si="99"/>
        <v>0</v>
      </c>
      <c r="W59" s="107">
        <f t="shared" si="99"/>
        <v>0</v>
      </c>
      <c r="X59" s="107">
        <f t="shared" si="99"/>
        <v>0</v>
      </c>
      <c r="Y59" s="107">
        <f t="shared" si="99"/>
        <v>0</v>
      </c>
      <c r="Z59" s="107">
        <f t="shared" si="99"/>
        <v>0</v>
      </c>
      <c r="AA59" s="107">
        <f t="shared" si="99"/>
        <v>0</v>
      </c>
      <c r="AB59" s="107">
        <f t="shared" si="99"/>
        <v>0</v>
      </c>
      <c r="AC59" s="107">
        <f t="shared" si="99"/>
        <v>0</v>
      </c>
      <c r="AD59" s="107">
        <f t="shared" si="99"/>
        <v>0</v>
      </c>
      <c r="AE59" s="107">
        <f t="shared" si="99"/>
        <v>0</v>
      </c>
      <c r="AF59" s="107">
        <f t="shared" si="99"/>
        <v>0</v>
      </c>
      <c r="AG59" s="107">
        <f t="shared" si="99"/>
        <v>0</v>
      </c>
      <c r="AH59" s="107">
        <f t="shared" si="99"/>
        <v>0</v>
      </c>
      <c r="AI59" s="107">
        <f t="shared" si="99"/>
        <v>0</v>
      </c>
      <c r="AJ59" s="107">
        <f t="shared" si="99"/>
        <v>0</v>
      </c>
      <c r="AK59" s="107">
        <f t="shared" si="99"/>
        <v>0</v>
      </c>
    </row>
    <row r="60" spans="2:37"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</row>
    <row r="61" spans="2:37">
      <c r="B61" s="102" t="s">
        <v>525</v>
      </c>
      <c r="H61" s="107">
        <f t="shared" ref="H61:R61" si="100">IF(H35=$G$25,I59/$G$23,0)</f>
        <v>0</v>
      </c>
      <c r="I61" s="107">
        <f t="shared" si="100"/>
        <v>0</v>
      </c>
      <c r="J61" s="107">
        <f t="shared" si="100"/>
        <v>0</v>
      </c>
      <c r="K61" s="107">
        <f t="shared" si="100"/>
        <v>0</v>
      </c>
      <c r="L61" s="107">
        <f t="shared" si="100"/>
        <v>0</v>
      </c>
      <c r="M61" s="107">
        <f t="shared" si="100"/>
        <v>0</v>
      </c>
      <c r="N61" s="107">
        <f t="shared" si="100"/>
        <v>0</v>
      </c>
      <c r="O61" s="107">
        <f t="shared" si="100"/>
        <v>0</v>
      </c>
      <c r="P61" s="107">
        <f t="shared" si="100"/>
        <v>0</v>
      </c>
      <c r="Q61" s="107">
        <f t="shared" si="100"/>
        <v>238632470.01502067</v>
      </c>
      <c r="R61" s="107">
        <f t="shared" si="100"/>
        <v>0</v>
      </c>
      <c r="S61" s="107">
        <f t="shared" ref="S61:AJ61" si="101">IF(S35=$G$25,T59/$G$23,0)</f>
        <v>0</v>
      </c>
      <c r="T61" s="107">
        <f t="shared" si="101"/>
        <v>0</v>
      </c>
      <c r="U61" s="107">
        <f t="shared" si="101"/>
        <v>0</v>
      </c>
      <c r="V61" s="107">
        <f t="shared" si="101"/>
        <v>0</v>
      </c>
      <c r="W61" s="107">
        <f t="shared" si="101"/>
        <v>0</v>
      </c>
      <c r="X61" s="107">
        <f t="shared" si="101"/>
        <v>0</v>
      </c>
      <c r="Y61" s="107">
        <f t="shared" si="101"/>
        <v>0</v>
      </c>
      <c r="Z61" s="107">
        <f t="shared" si="101"/>
        <v>0</v>
      </c>
      <c r="AA61" s="107">
        <f t="shared" si="101"/>
        <v>0</v>
      </c>
      <c r="AB61" s="107">
        <f t="shared" si="101"/>
        <v>0</v>
      </c>
      <c r="AC61" s="107">
        <f t="shared" si="101"/>
        <v>0</v>
      </c>
      <c r="AD61" s="107">
        <f t="shared" si="101"/>
        <v>0</v>
      </c>
      <c r="AE61" s="107">
        <f t="shared" si="101"/>
        <v>0</v>
      </c>
      <c r="AF61" s="107">
        <f t="shared" si="101"/>
        <v>0</v>
      </c>
      <c r="AG61" s="107">
        <f t="shared" si="101"/>
        <v>0</v>
      </c>
      <c r="AH61" s="107">
        <f t="shared" si="101"/>
        <v>0</v>
      </c>
      <c r="AI61" s="107">
        <f t="shared" si="101"/>
        <v>0</v>
      </c>
      <c r="AJ61" s="107">
        <f t="shared" si="101"/>
        <v>0</v>
      </c>
      <c r="AK61" s="107">
        <f>IF(AK35=$G$25,#REF!/$G$23,0)</f>
        <v>0</v>
      </c>
    </row>
    <row r="62" spans="2:37">
      <c r="B62" s="102" t="s">
        <v>393</v>
      </c>
      <c r="H62" s="107">
        <f>-H61*$G$26</f>
        <v>0</v>
      </c>
      <c r="I62" s="107">
        <f t="shared" ref="I62:R62" si="102">-I61*$G$26</f>
        <v>0</v>
      </c>
      <c r="J62" s="107">
        <f t="shared" si="102"/>
        <v>0</v>
      </c>
      <c r="K62" s="107">
        <f t="shared" si="102"/>
        <v>0</v>
      </c>
      <c r="L62" s="107">
        <f t="shared" si="102"/>
        <v>0</v>
      </c>
      <c r="M62" s="107">
        <f t="shared" si="102"/>
        <v>0</v>
      </c>
      <c r="N62" s="107">
        <f t="shared" si="102"/>
        <v>0</v>
      </c>
      <c r="O62" s="107">
        <f t="shared" si="102"/>
        <v>0</v>
      </c>
      <c r="P62" s="107">
        <f t="shared" si="102"/>
        <v>0</v>
      </c>
      <c r="Q62" s="107">
        <f t="shared" si="102"/>
        <v>0</v>
      </c>
      <c r="R62" s="107">
        <f t="shared" si="102"/>
        <v>0</v>
      </c>
      <c r="S62" s="107">
        <f t="shared" ref="S62:AK62" si="103">-S61*$G$26</f>
        <v>0</v>
      </c>
      <c r="T62" s="107">
        <f t="shared" si="103"/>
        <v>0</v>
      </c>
      <c r="U62" s="107">
        <f t="shared" si="103"/>
        <v>0</v>
      </c>
      <c r="V62" s="107">
        <f t="shared" si="103"/>
        <v>0</v>
      </c>
      <c r="W62" s="107">
        <f t="shared" si="103"/>
        <v>0</v>
      </c>
      <c r="X62" s="107">
        <f t="shared" si="103"/>
        <v>0</v>
      </c>
      <c r="Y62" s="107">
        <f t="shared" si="103"/>
        <v>0</v>
      </c>
      <c r="Z62" s="107">
        <f t="shared" si="103"/>
        <v>0</v>
      </c>
      <c r="AA62" s="107">
        <f t="shared" si="103"/>
        <v>0</v>
      </c>
      <c r="AB62" s="107">
        <f t="shared" si="103"/>
        <v>0</v>
      </c>
      <c r="AC62" s="107">
        <f t="shared" si="103"/>
        <v>0</v>
      </c>
      <c r="AD62" s="107">
        <f t="shared" si="103"/>
        <v>0</v>
      </c>
      <c r="AE62" s="107">
        <f t="shared" si="103"/>
        <v>0</v>
      </c>
      <c r="AF62" s="107">
        <f t="shared" si="103"/>
        <v>0</v>
      </c>
      <c r="AG62" s="107">
        <f t="shared" si="103"/>
        <v>0</v>
      </c>
      <c r="AH62" s="107">
        <f t="shared" si="103"/>
        <v>0</v>
      </c>
      <c r="AI62" s="107">
        <f t="shared" si="103"/>
        <v>0</v>
      </c>
      <c r="AJ62" s="107">
        <f t="shared" si="103"/>
        <v>0</v>
      </c>
      <c r="AK62" s="107">
        <f t="shared" si="103"/>
        <v>0</v>
      </c>
    </row>
    <row r="63" spans="2:37">
      <c r="B63" s="111" t="s">
        <v>526</v>
      </c>
      <c r="C63" s="111"/>
      <c r="D63" s="111"/>
      <c r="E63" s="111"/>
      <c r="F63" s="111"/>
      <c r="G63" s="112">
        <f ca="1">SUM(G59:G62)</f>
        <v>-105888542.34300376</v>
      </c>
      <c r="H63" s="112">
        <f t="shared" ref="H63:R63" si="104">SUM(H59:H62)</f>
        <v>-17475813.970647238</v>
      </c>
      <c r="I63" s="112">
        <f t="shared" si="104"/>
        <v>9869963.7304469999</v>
      </c>
      <c r="J63" s="112">
        <f t="shared" si="104"/>
        <v>10188557.214396331</v>
      </c>
      <c r="K63" s="112">
        <f t="shared" si="104"/>
        <v>10517158.394304859</v>
      </c>
      <c r="L63" s="112">
        <f t="shared" si="104"/>
        <v>10856076.498880174</v>
      </c>
      <c r="M63" s="112">
        <f t="shared" si="104"/>
        <v>11205630.213647675</v>
      </c>
      <c r="N63" s="112">
        <f t="shared" si="104"/>
        <v>11566147.968254222</v>
      </c>
      <c r="O63" s="112">
        <f t="shared" si="104"/>
        <v>11937968.232462909</v>
      </c>
      <c r="P63" s="112">
        <f t="shared" si="104"/>
        <v>12321439.821101073</v>
      </c>
      <c r="Q63" s="112">
        <f t="shared" si="104"/>
        <v>251349392.22325233</v>
      </c>
      <c r="R63" s="112">
        <f t="shared" si="104"/>
        <v>13124785.850826137</v>
      </c>
      <c r="S63" s="112">
        <f t="shared" ref="S63:AK63" si="105">SUM(S59:S62)</f>
        <v>0</v>
      </c>
      <c r="T63" s="112">
        <f t="shared" si="105"/>
        <v>0</v>
      </c>
      <c r="U63" s="112">
        <f t="shared" si="105"/>
        <v>0</v>
      </c>
      <c r="V63" s="112">
        <f t="shared" si="105"/>
        <v>0</v>
      </c>
      <c r="W63" s="112">
        <f t="shared" si="105"/>
        <v>0</v>
      </c>
      <c r="X63" s="112">
        <f t="shared" si="105"/>
        <v>0</v>
      </c>
      <c r="Y63" s="112">
        <f t="shared" si="105"/>
        <v>0</v>
      </c>
      <c r="Z63" s="112">
        <f t="shared" si="105"/>
        <v>0</v>
      </c>
      <c r="AA63" s="112">
        <f t="shared" si="105"/>
        <v>0</v>
      </c>
      <c r="AB63" s="112">
        <f t="shared" si="105"/>
        <v>0</v>
      </c>
      <c r="AC63" s="112">
        <f t="shared" si="105"/>
        <v>0</v>
      </c>
      <c r="AD63" s="112">
        <f t="shared" si="105"/>
        <v>0</v>
      </c>
      <c r="AE63" s="112">
        <f t="shared" si="105"/>
        <v>0</v>
      </c>
      <c r="AF63" s="112">
        <f t="shared" si="105"/>
        <v>0</v>
      </c>
      <c r="AG63" s="112">
        <f t="shared" si="105"/>
        <v>0</v>
      </c>
      <c r="AH63" s="112">
        <f t="shared" si="105"/>
        <v>0</v>
      </c>
      <c r="AI63" s="112">
        <f t="shared" si="105"/>
        <v>0</v>
      </c>
      <c r="AJ63" s="112">
        <f t="shared" si="105"/>
        <v>0</v>
      </c>
      <c r="AK63" s="112">
        <f t="shared" si="105"/>
        <v>0</v>
      </c>
    </row>
    <row r="64" spans="2:37" ht="15" thickBot="1"/>
    <row r="65" spans="2:37">
      <c r="B65" s="122" t="s">
        <v>527</v>
      </c>
      <c r="C65" s="123"/>
      <c r="D65" s="123"/>
      <c r="E65" s="123"/>
      <c r="F65" s="123"/>
      <c r="G65" s="124">
        <f ca="1">SUM(G63:R63)</f>
        <v>229572763.83392173</v>
      </c>
    </row>
    <row r="66" spans="2:37">
      <c r="B66" s="125" t="s">
        <v>528</v>
      </c>
      <c r="G66" s="126">
        <f>NPV($R$21,H63:R63)</f>
        <v>163963569.45290521</v>
      </c>
    </row>
    <row r="67" spans="2:37">
      <c r="B67" s="125" t="s">
        <v>529</v>
      </c>
      <c r="G67" s="126">
        <f ca="1">G66+G63</f>
        <v>58075027.109901443</v>
      </c>
    </row>
    <row r="68" spans="2:37">
      <c r="B68" s="125" t="s">
        <v>530</v>
      </c>
      <c r="G68" s="127">
        <f ca="1">IRR(G63:R63)</f>
        <v>0.1324558516203691</v>
      </c>
    </row>
    <row r="69" spans="2:37" ht="15" thickBot="1">
      <c r="B69" s="128" t="s">
        <v>531</v>
      </c>
      <c r="C69" s="129"/>
      <c r="D69" s="129"/>
      <c r="E69" s="129"/>
      <c r="F69" s="129"/>
      <c r="G69" s="130">
        <f ca="1">(G65/-G63)+1</f>
        <v>3.1680604790107396</v>
      </c>
    </row>
    <row r="71" spans="2:37">
      <c r="B71" s="102" t="s">
        <v>532</v>
      </c>
      <c r="G71" s="107">
        <f ca="1">G32</f>
        <v>74121979.640102625</v>
      </c>
    </row>
    <row r="72" spans="2:37">
      <c r="B72" s="102" t="s">
        <v>533</v>
      </c>
      <c r="H72" s="107">
        <f t="shared" ref="H72:R72" si="106">IF(H35=$G$25,FV($G$30/12,H35*12,$G$33,$G$32),0)</f>
        <v>0</v>
      </c>
      <c r="I72" s="107">
        <f t="shared" si="106"/>
        <v>0</v>
      </c>
      <c r="J72" s="107">
        <f t="shared" si="106"/>
        <v>0</v>
      </c>
      <c r="K72" s="107">
        <f t="shared" si="106"/>
        <v>0</v>
      </c>
      <c r="L72" s="107">
        <f t="shared" si="106"/>
        <v>0</v>
      </c>
      <c r="M72" s="107">
        <f t="shared" si="106"/>
        <v>0</v>
      </c>
      <c r="N72" s="107">
        <f t="shared" si="106"/>
        <v>0</v>
      </c>
      <c r="O72" s="107">
        <f t="shared" si="106"/>
        <v>0</v>
      </c>
      <c r="P72" s="107">
        <f t="shared" si="106"/>
        <v>0</v>
      </c>
      <c r="Q72" s="107">
        <f t="shared" ca="1" si="106"/>
        <v>-60292348.48158475</v>
      </c>
      <c r="R72" s="107">
        <f t="shared" si="106"/>
        <v>0</v>
      </c>
      <c r="S72" s="107">
        <f t="shared" ref="S72:AK72" si="107">IF(S35=$G$25,FV($G$30/12,S35*12,$G$33,$G$32),0)</f>
        <v>0</v>
      </c>
      <c r="T72" s="107">
        <f t="shared" si="107"/>
        <v>0</v>
      </c>
      <c r="U72" s="107">
        <f t="shared" si="107"/>
        <v>0</v>
      </c>
      <c r="V72" s="107">
        <f t="shared" si="107"/>
        <v>0</v>
      </c>
      <c r="W72" s="107">
        <f t="shared" si="107"/>
        <v>0</v>
      </c>
      <c r="X72" s="107">
        <f t="shared" si="107"/>
        <v>0</v>
      </c>
      <c r="Y72" s="107">
        <f t="shared" si="107"/>
        <v>0</v>
      </c>
      <c r="Z72" s="107">
        <f t="shared" si="107"/>
        <v>0</v>
      </c>
      <c r="AA72" s="107">
        <f t="shared" si="107"/>
        <v>0</v>
      </c>
      <c r="AB72" s="107">
        <f t="shared" si="107"/>
        <v>0</v>
      </c>
      <c r="AC72" s="107">
        <f t="shared" si="107"/>
        <v>0</v>
      </c>
      <c r="AD72" s="107">
        <f t="shared" si="107"/>
        <v>0</v>
      </c>
      <c r="AE72" s="107">
        <f t="shared" si="107"/>
        <v>0</v>
      </c>
      <c r="AF72" s="107">
        <f t="shared" si="107"/>
        <v>0</v>
      </c>
      <c r="AG72" s="107">
        <f t="shared" si="107"/>
        <v>0</v>
      </c>
      <c r="AH72" s="107">
        <f t="shared" si="107"/>
        <v>0</v>
      </c>
      <c r="AI72" s="107">
        <f t="shared" si="107"/>
        <v>0</v>
      </c>
      <c r="AJ72" s="107">
        <f t="shared" si="107"/>
        <v>0</v>
      </c>
      <c r="AK72" s="107">
        <f t="shared" si="107"/>
        <v>0</v>
      </c>
    </row>
    <row r="73" spans="2:37">
      <c r="B73" s="102" t="s">
        <v>534</v>
      </c>
      <c r="H73" s="107">
        <f ca="1">IF(H35&lt;=$G$25,$G$33*12,0)</f>
        <v>-4774833.7693527136</v>
      </c>
      <c r="I73" s="107">
        <f t="shared" ref="I73:R73" ca="1" si="108">IF(I35&lt;=$G$25,$G$33*12,0)</f>
        <v>-4774833.7693527136</v>
      </c>
      <c r="J73" s="107">
        <f t="shared" ca="1" si="108"/>
        <v>-4774833.7693527136</v>
      </c>
      <c r="K73" s="107">
        <f t="shared" ca="1" si="108"/>
        <v>-4774833.7693527136</v>
      </c>
      <c r="L73" s="107">
        <f t="shared" ca="1" si="108"/>
        <v>-4774833.7693527136</v>
      </c>
      <c r="M73" s="107">
        <f t="shared" ca="1" si="108"/>
        <v>-4774833.7693527136</v>
      </c>
      <c r="N73" s="107">
        <f t="shared" ca="1" si="108"/>
        <v>-4774833.7693527136</v>
      </c>
      <c r="O73" s="107">
        <f t="shared" ca="1" si="108"/>
        <v>-4774833.7693527136</v>
      </c>
      <c r="P73" s="107">
        <f t="shared" ca="1" si="108"/>
        <v>-4774833.7693527136</v>
      </c>
      <c r="Q73" s="107">
        <f t="shared" ca="1" si="108"/>
        <v>-4774833.7693527136</v>
      </c>
      <c r="R73" s="107">
        <f t="shared" si="108"/>
        <v>0</v>
      </c>
      <c r="S73" s="107">
        <f t="shared" ref="S73:AK73" si="109">IF(S35&lt;=$G$25,$G$33*12,0)</f>
        <v>0</v>
      </c>
      <c r="T73" s="107">
        <f t="shared" si="109"/>
        <v>0</v>
      </c>
      <c r="U73" s="107">
        <f t="shared" si="109"/>
        <v>0</v>
      </c>
      <c r="V73" s="107">
        <f t="shared" si="109"/>
        <v>0</v>
      </c>
      <c r="W73" s="107">
        <f t="shared" si="109"/>
        <v>0</v>
      </c>
      <c r="X73" s="107">
        <f t="shared" si="109"/>
        <v>0</v>
      </c>
      <c r="Y73" s="107">
        <f t="shared" si="109"/>
        <v>0</v>
      </c>
      <c r="Z73" s="107">
        <f t="shared" si="109"/>
        <v>0</v>
      </c>
      <c r="AA73" s="107">
        <f t="shared" si="109"/>
        <v>0</v>
      </c>
      <c r="AB73" s="107">
        <f t="shared" si="109"/>
        <v>0</v>
      </c>
      <c r="AC73" s="107">
        <f t="shared" si="109"/>
        <v>0</v>
      </c>
      <c r="AD73" s="107">
        <f t="shared" si="109"/>
        <v>0</v>
      </c>
      <c r="AE73" s="107">
        <f t="shared" si="109"/>
        <v>0</v>
      </c>
      <c r="AF73" s="107">
        <f t="shared" si="109"/>
        <v>0</v>
      </c>
      <c r="AG73" s="107">
        <f t="shared" si="109"/>
        <v>0</v>
      </c>
      <c r="AH73" s="107">
        <f t="shared" si="109"/>
        <v>0</v>
      </c>
      <c r="AI73" s="107">
        <f t="shared" si="109"/>
        <v>0</v>
      </c>
      <c r="AJ73" s="107">
        <f t="shared" si="109"/>
        <v>0</v>
      </c>
      <c r="AK73" s="107">
        <f t="shared" si="109"/>
        <v>0</v>
      </c>
    </row>
    <row r="75" spans="2:37">
      <c r="B75" s="102" t="s">
        <v>535</v>
      </c>
      <c r="G75" s="107">
        <f t="shared" ref="G75:R75" ca="1" si="110">IF(G35&lt;=$G$25,SUM(G63,G71:G73),0)</f>
        <v>-31766562.70290114</v>
      </c>
      <c r="H75" s="107">
        <f t="shared" ca="1" si="110"/>
        <v>-22250647.73999995</v>
      </c>
      <c r="I75" s="107">
        <f t="shared" ca="1" si="110"/>
        <v>5095129.9610942863</v>
      </c>
      <c r="J75" s="107">
        <f t="shared" ca="1" si="110"/>
        <v>5413723.4450436179</v>
      </c>
      <c r="K75" s="107">
        <f t="shared" ca="1" si="110"/>
        <v>5742324.6249521449</v>
      </c>
      <c r="L75" s="107">
        <f t="shared" ca="1" si="110"/>
        <v>6081242.7295274604</v>
      </c>
      <c r="M75" s="107">
        <f t="shared" ca="1" si="110"/>
        <v>6430796.4442949612</v>
      </c>
      <c r="N75" s="107">
        <f t="shared" ca="1" si="110"/>
        <v>6791314.198901508</v>
      </c>
      <c r="O75" s="107">
        <f t="shared" ca="1" si="110"/>
        <v>7163134.4631101955</v>
      </c>
      <c r="P75" s="107">
        <f t="shared" ca="1" si="110"/>
        <v>7546606.0517483596</v>
      </c>
      <c r="Q75" s="107">
        <f t="shared" ca="1" si="110"/>
        <v>186282209.97231486</v>
      </c>
      <c r="R75" s="107">
        <f t="shared" si="110"/>
        <v>0</v>
      </c>
      <c r="S75" s="107">
        <f t="shared" ref="S75:AK75" si="111">IF(S35&lt;=$G$25,SUM(S63,S71:S73),0)</f>
        <v>0</v>
      </c>
      <c r="T75" s="107">
        <f t="shared" si="111"/>
        <v>0</v>
      </c>
      <c r="U75" s="107">
        <f t="shared" si="111"/>
        <v>0</v>
      </c>
      <c r="V75" s="107">
        <f t="shared" si="111"/>
        <v>0</v>
      </c>
      <c r="W75" s="107">
        <f t="shared" si="111"/>
        <v>0</v>
      </c>
      <c r="X75" s="107">
        <f t="shared" si="111"/>
        <v>0</v>
      </c>
      <c r="Y75" s="107">
        <f t="shared" si="111"/>
        <v>0</v>
      </c>
      <c r="Z75" s="107">
        <f t="shared" si="111"/>
        <v>0</v>
      </c>
      <c r="AA75" s="107">
        <f t="shared" si="111"/>
        <v>0</v>
      </c>
      <c r="AB75" s="107">
        <f t="shared" si="111"/>
        <v>0</v>
      </c>
      <c r="AC75" s="107">
        <f t="shared" si="111"/>
        <v>0</v>
      </c>
      <c r="AD75" s="107">
        <f t="shared" si="111"/>
        <v>0</v>
      </c>
      <c r="AE75" s="107">
        <f t="shared" si="111"/>
        <v>0</v>
      </c>
      <c r="AF75" s="107">
        <f t="shared" si="111"/>
        <v>0</v>
      </c>
      <c r="AG75" s="107">
        <f t="shared" si="111"/>
        <v>0</v>
      </c>
      <c r="AH75" s="107">
        <f t="shared" si="111"/>
        <v>0</v>
      </c>
      <c r="AI75" s="107">
        <f t="shared" si="111"/>
        <v>0</v>
      </c>
      <c r="AJ75" s="107">
        <f t="shared" si="111"/>
        <v>0</v>
      </c>
      <c r="AK75" s="107">
        <f t="shared" si="111"/>
        <v>0</v>
      </c>
    </row>
    <row r="76" spans="2:37" ht="15" thickBot="1"/>
    <row r="77" spans="2:37">
      <c r="B77" s="122" t="s">
        <v>527</v>
      </c>
      <c r="C77" s="123"/>
      <c r="D77" s="123"/>
      <c r="E77" s="123"/>
      <c r="F77" s="123"/>
      <c r="G77" s="124">
        <f ca="1">SUM(G75:R75)</f>
        <v>182529271.44808632</v>
      </c>
    </row>
    <row r="78" spans="2:37">
      <c r="B78" s="125" t="s">
        <v>528</v>
      </c>
      <c r="G78" s="126">
        <f ca="1">NPV($R$21,H75:R75)</f>
        <v>98368027.31223461</v>
      </c>
    </row>
    <row r="79" spans="2:37">
      <c r="B79" s="125" t="s">
        <v>529</v>
      </c>
      <c r="G79" s="126">
        <f ca="1">G78+G75</f>
        <v>66601464.60933347</v>
      </c>
    </row>
    <row r="80" spans="2:37">
      <c r="B80" s="125" t="s">
        <v>536</v>
      </c>
      <c r="G80" s="131">
        <f ca="1">IRR(G75:R75)</f>
        <v>0.19634050226147615</v>
      </c>
    </row>
    <row r="81" spans="1:37" ht="15" thickBot="1">
      <c r="B81" s="128" t="s">
        <v>531</v>
      </c>
      <c r="C81" s="129"/>
      <c r="D81" s="129"/>
      <c r="E81" s="129"/>
      <c r="F81" s="129"/>
      <c r="G81" s="130">
        <f ca="1">(G77/-G75)+1</f>
        <v>6.7459559964105429</v>
      </c>
    </row>
    <row r="83" spans="1:37" s="104" customFormat="1">
      <c r="A83" s="132" t="s">
        <v>472</v>
      </c>
      <c r="B83" s="104" t="s">
        <v>585</v>
      </c>
      <c r="H83" s="119">
        <f t="shared" ref="H83:R83" si="112">H35</f>
        <v>1</v>
      </c>
      <c r="I83" s="119">
        <f t="shared" si="112"/>
        <v>2</v>
      </c>
      <c r="J83" s="119">
        <f t="shared" si="112"/>
        <v>3</v>
      </c>
      <c r="K83" s="119">
        <f t="shared" si="112"/>
        <v>4</v>
      </c>
      <c r="L83" s="119">
        <f t="shared" si="112"/>
        <v>5</v>
      </c>
      <c r="M83" s="119">
        <f t="shared" si="112"/>
        <v>6</v>
      </c>
      <c r="N83" s="119">
        <f t="shared" si="112"/>
        <v>7</v>
      </c>
      <c r="O83" s="119">
        <f t="shared" si="112"/>
        <v>8</v>
      </c>
      <c r="P83" s="119">
        <f t="shared" si="112"/>
        <v>9</v>
      </c>
      <c r="Q83" s="119">
        <f t="shared" si="112"/>
        <v>10</v>
      </c>
      <c r="R83" s="119">
        <f t="shared" si="112"/>
        <v>11</v>
      </c>
      <c r="S83" s="119">
        <f t="shared" ref="S83:AK83" si="113">S35</f>
        <v>12</v>
      </c>
      <c r="T83" s="119">
        <f t="shared" si="113"/>
        <v>13</v>
      </c>
      <c r="U83" s="119">
        <f t="shared" si="113"/>
        <v>14</v>
      </c>
      <c r="V83" s="119">
        <f t="shared" si="113"/>
        <v>15</v>
      </c>
      <c r="W83" s="119">
        <f t="shared" si="113"/>
        <v>16</v>
      </c>
      <c r="X83" s="119">
        <f t="shared" si="113"/>
        <v>17</v>
      </c>
      <c r="Y83" s="119">
        <f t="shared" si="113"/>
        <v>18</v>
      </c>
      <c r="Z83" s="119">
        <f t="shared" si="113"/>
        <v>19</v>
      </c>
      <c r="AA83" s="119">
        <f t="shared" si="113"/>
        <v>20</v>
      </c>
      <c r="AB83" s="119">
        <f t="shared" si="113"/>
        <v>21</v>
      </c>
      <c r="AC83" s="119">
        <f t="shared" si="113"/>
        <v>22</v>
      </c>
      <c r="AD83" s="119">
        <f t="shared" si="113"/>
        <v>23</v>
      </c>
      <c r="AE83" s="119">
        <f t="shared" si="113"/>
        <v>24</v>
      </c>
      <c r="AF83" s="119">
        <f t="shared" si="113"/>
        <v>25</v>
      </c>
      <c r="AG83" s="119">
        <f t="shared" si="113"/>
        <v>26</v>
      </c>
      <c r="AH83" s="119">
        <f t="shared" si="113"/>
        <v>27</v>
      </c>
      <c r="AI83" s="119">
        <f t="shared" si="113"/>
        <v>28</v>
      </c>
      <c r="AJ83" s="119">
        <f t="shared" si="113"/>
        <v>29</v>
      </c>
      <c r="AK83" s="119">
        <f t="shared" si="113"/>
        <v>30</v>
      </c>
    </row>
    <row r="84" spans="1:37">
      <c r="B84" s="102" t="s">
        <v>586</v>
      </c>
      <c r="H84" s="108">
        <f t="shared" ref="H84:R84" si="114">H40/$G$12</f>
        <v>40.630000000000003</v>
      </c>
      <c r="I84" s="108">
        <f t="shared" si="114"/>
        <v>41.8489</v>
      </c>
      <c r="J84" s="108">
        <f t="shared" si="114"/>
        <v>43.104366999999996</v>
      </c>
      <c r="K84" s="108">
        <f t="shared" si="114"/>
        <v>44.39749801</v>
      </c>
      <c r="L84" s="108">
        <f t="shared" si="114"/>
        <v>45.729422950299998</v>
      </c>
      <c r="M84" s="108">
        <f t="shared" si="114"/>
        <v>47.101305638808995</v>
      </c>
      <c r="N84" s="108">
        <f t="shared" si="114"/>
        <v>48.514344807973266</v>
      </c>
      <c r="O84" s="108">
        <f t="shared" si="114"/>
        <v>49.96977515221247</v>
      </c>
      <c r="P84" s="108">
        <f t="shared" si="114"/>
        <v>51.468868406778839</v>
      </c>
      <c r="Q84" s="108">
        <f t="shared" si="114"/>
        <v>53.012934458982201</v>
      </c>
      <c r="R84" s="108">
        <f t="shared" si="114"/>
        <v>54.603322492751666</v>
      </c>
      <c r="S84" s="108">
        <f t="shared" ref="S84:AK84" si="115">S40/$G$12</f>
        <v>56.241422167534218</v>
      </c>
      <c r="T84" s="108">
        <f t="shared" si="115"/>
        <v>57.928664832560237</v>
      </c>
      <c r="U84" s="108">
        <f t="shared" si="115"/>
        <v>59.666524777537042</v>
      </c>
      <c r="V84" s="108">
        <f t="shared" si="115"/>
        <v>61.456520520863158</v>
      </c>
      <c r="W84" s="108">
        <f t="shared" si="115"/>
        <v>63.300216136489063</v>
      </c>
      <c r="X84" s="108">
        <f t="shared" si="115"/>
        <v>65.199222620583711</v>
      </c>
      <c r="Y84" s="108">
        <f t="shared" si="115"/>
        <v>67.155199299201229</v>
      </c>
      <c r="Z84" s="108">
        <f t="shared" si="115"/>
        <v>69.169855278177266</v>
      </c>
      <c r="AA84" s="108">
        <f t="shared" si="115"/>
        <v>71.244950936522585</v>
      </c>
      <c r="AB84" s="108">
        <f t="shared" si="115"/>
        <v>73.382299464618256</v>
      </c>
      <c r="AC84" s="108">
        <f t="shared" si="115"/>
        <v>75.583768448556796</v>
      </c>
      <c r="AD84" s="108">
        <f t="shared" si="115"/>
        <v>77.851281502013506</v>
      </c>
      <c r="AE84" s="108">
        <f t="shared" si="115"/>
        <v>80.186819947073914</v>
      </c>
      <c r="AF84" s="108">
        <f t="shared" si="115"/>
        <v>82.592424545486125</v>
      </c>
      <c r="AG84" s="108">
        <f t="shared" si="115"/>
        <v>85.07019728185071</v>
      </c>
      <c r="AH84" s="108">
        <f t="shared" si="115"/>
        <v>87.622303200306234</v>
      </c>
      <c r="AI84" s="108">
        <f t="shared" si="115"/>
        <v>90.250972296315425</v>
      </c>
      <c r="AJ84" s="108">
        <f t="shared" si="115"/>
        <v>92.958501465204876</v>
      </c>
      <c r="AK84" s="108">
        <f t="shared" si="115"/>
        <v>95.747256509161019</v>
      </c>
    </row>
    <row r="85" spans="1:37">
      <c r="B85" s="102" t="s">
        <v>573</v>
      </c>
      <c r="H85" s="108">
        <f t="shared" ref="H85:R85" si="116">H42/$G$12</f>
        <v>0</v>
      </c>
      <c r="I85" s="108">
        <f t="shared" si="116"/>
        <v>0</v>
      </c>
      <c r="J85" s="108">
        <f t="shared" si="116"/>
        <v>0</v>
      </c>
      <c r="K85" s="108">
        <f t="shared" si="116"/>
        <v>0</v>
      </c>
      <c r="L85" s="108">
        <f t="shared" si="116"/>
        <v>0</v>
      </c>
      <c r="M85" s="108">
        <f t="shared" si="116"/>
        <v>0</v>
      </c>
      <c r="N85" s="108">
        <f t="shared" si="116"/>
        <v>0</v>
      </c>
      <c r="O85" s="108">
        <f t="shared" si="116"/>
        <v>0</v>
      </c>
      <c r="P85" s="108">
        <f t="shared" si="116"/>
        <v>0</v>
      </c>
      <c r="Q85" s="108">
        <f t="shared" si="116"/>
        <v>0</v>
      </c>
      <c r="R85" s="108">
        <f t="shared" si="116"/>
        <v>0</v>
      </c>
      <c r="S85" s="108">
        <f t="shared" ref="S85:AK85" si="117">S42/$G$12</f>
        <v>0</v>
      </c>
      <c r="T85" s="108">
        <f t="shared" si="117"/>
        <v>0</v>
      </c>
      <c r="U85" s="108">
        <f t="shared" si="117"/>
        <v>0</v>
      </c>
      <c r="V85" s="108">
        <f t="shared" si="117"/>
        <v>0</v>
      </c>
      <c r="W85" s="108">
        <f t="shared" si="117"/>
        <v>0</v>
      </c>
      <c r="X85" s="108">
        <f t="shared" si="117"/>
        <v>0</v>
      </c>
      <c r="Y85" s="108">
        <f t="shared" si="117"/>
        <v>0</v>
      </c>
      <c r="Z85" s="108">
        <f t="shared" si="117"/>
        <v>0</v>
      </c>
      <c r="AA85" s="108">
        <f t="shared" si="117"/>
        <v>0</v>
      </c>
      <c r="AB85" s="108">
        <f t="shared" si="117"/>
        <v>0</v>
      </c>
      <c r="AC85" s="108">
        <f t="shared" si="117"/>
        <v>0</v>
      </c>
      <c r="AD85" s="108">
        <f t="shared" si="117"/>
        <v>0</v>
      </c>
      <c r="AE85" s="108">
        <f t="shared" si="117"/>
        <v>0</v>
      </c>
      <c r="AF85" s="108">
        <f t="shared" si="117"/>
        <v>0</v>
      </c>
      <c r="AG85" s="108">
        <f t="shared" si="117"/>
        <v>0</v>
      </c>
      <c r="AH85" s="108">
        <f t="shared" si="117"/>
        <v>0</v>
      </c>
      <c r="AI85" s="108">
        <f t="shared" si="117"/>
        <v>0</v>
      </c>
      <c r="AJ85" s="108">
        <f t="shared" si="117"/>
        <v>0</v>
      </c>
      <c r="AK85" s="108">
        <f t="shared" si="117"/>
        <v>0</v>
      </c>
    </row>
    <row r="86" spans="1:37">
      <c r="B86" s="102" t="s">
        <v>16</v>
      </c>
      <c r="H86" s="108">
        <f>H84-H85</f>
        <v>40.630000000000003</v>
      </c>
      <c r="I86" s="108">
        <f t="shared" ref="I86:R86" si="118">I84-I85</f>
        <v>41.8489</v>
      </c>
      <c r="J86" s="108">
        <f t="shared" si="118"/>
        <v>43.104366999999996</v>
      </c>
      <c r="K86" s="108">
        <f t="shared" si="118"/>
        <v>44.39749801</v>
      </c>
      <c r="L86" s="108">
        <f t="shared" si="118"/>
        <v>45.729422950299998</v>
      </c>
      <c r="M86" s="108">
        <f t="shared" si="118"/>
        <v>47.101305638808995</v>
      </c>
      <c r="N86" s="108">
        <f t="shared" si="118"/>
        <v>48.514344807973266</v>
      </c>
      <c r="O86" s="108">
        <f t="shared" si="118"/>
        <v>49.96977515221247</v>
      </c>
      <c r="P86" s="108">
        <f t="shared" si="118"/>
        <v>51.468868406778839</v>
      </c>
      <c r="Q86" s="108">
        <f t="shared" si="118"/>
        <v>53.012934458982201</v>
      </c>
      <c r="R86" s="108">
        <f t="shared" si="118"/>
        <v>54.603322492751666</v>
      </c>
      <c r="S86" s="108">
        <f t="shared" ref="S86:AK86" si="119">S84-S85</f>
        <v>56.241422167534218</v>
      </c>
      <c r="T86" s="108">
        <f t="shared" si="119"/>
        <v>57.928664832560237</v>
      </c>
      <c r="U86" s="108">
        <f t="shared" si="119"/>
        <v>59.666524777537042</v>
      </c>
      <c r="V86" s="108">
        <f t="shared" si="119"/>
        <v>61.456520520863158</v>
      </c>
      <c r="W86" s="108">
        <f t="shared" si="119"/>
        <v>63.300216136489063</v>
      </c>
      <c r="X86" s="108">
        <f t="shared" si="119"/>
        <v>65.199222620583711</v>
      </c>
      <c r="Y86" s="108">
        <f t="shared" si="119"/>
        <v>67.155199299201229</v>
      </c>
      <c r="Z86" s="108">
        <f t="shared" si="119"/>
        <v>69.169855278177266</v>
      </c>
      <c r="AA86" s="108">
        <f t="shared" si="119"/>
        <v>71.244950936522585</v>
      </c>
      <c r="AB86" s="108">
        <f t="shared" si="119"/>
        <v>73.382299464618256</v>
      </c>
      <c r="AC86" s="108">
        <f t="shared" si="119"/>
        <v>75.583768448556796</v>
      </c>
      <c r="AD86" s="108">
        <f t="shared" si="119"/>
        <v>77.851281502013506</v>
      </c>
      <c r="AE86" s="108">
        <f t="shared" si="119"/>
        <v>80.186819947073914</v>
      </c>
      <c r="AF86" s="108">
        <f t="shared" si="119"/>
        <v>82.592424545486125</v>
      </c>
      <c r="AG86" s="108">
        <f t="shared" si="119"/>
        <v>85.07019728185071</v>
      </c>
      <c r="AH86" s="108">
        <f t="shared" si="119"/>
        <v>87.622303200306234</v>
      </c>
      <c r="AI86" s="108">
        <f t="shared" si="119"/>
        <v>90.250972296315425</v>
      </c>
      <c r="AJ86" s="108">
        <f t="shared" si="119"/>
        <v>92.958501465204876</v>
      </c>
      <c r="AK86" s="108">
        <f t="shared" si="119"/>
        <v>95.747256509161019</v>
      </c>
    </row>
    <row r="87" spans="1:37">
      <c r="B87" s="102" t="s">
        <v>587</v>
      </c>
      <c r="H87" s="120">
        <f>$G$21</f>
        <v>0.06</v>
      </c>
      <c r="I87" s="120">
        <f t="shared" ref="I87:AK87" si="120">$G$21</f>
        <v>0.06</v>
      </c>
      <c r="J87" s="120">
        <f t="shared" si="120"/>
        <v>0.06</v>
      </c>
      <c r="K87" s="120">
        <f t="shared" si="120"/>
        <v>0.06</v>
      </c>
      <c r="L87" s="120">
        <f t="shared" si="120"/>
        <v>0.06</v>
      </c>
      <c r="M87" s="120">
        <f t="shared" si="120"/>
        <v>0.06</v>
      </c>
      <c r="N87" s="120">
        <f t="shared" si="120"/>
        <v>0.06</v>
      </c>
      <c r="O87" s="120">
        <f t="shared" si="120"/>
        <v>0.06</v>
      </c>
      <c r="P87" s="120">
        <f t="shared" si="120"/>
        <v>0.06</v>
      </c>
      <c r="Q87" s="120">
        <f t="shared" si="120"/>
        <v>0.06</v>
      </c>
      <c r="R87" s="120">
        <f t="shared" si="120"/>
        <v>0.06</v>
      </c>
      <c r="S87" s="120">
        <f t="shared" si="120"/>
        <v>0.06</v>
      </c>
      <c r="T87" s="120">
        <f t="shared" si="120"/>
        <v>0.06</v>
      </c>
      <c r="U87" s="120">
        <f t="shared" si="120"/>
        <v>0.06</v>
      </c>
      <c r="V87" s="120">
        <f t="shared" si="120"/>
        <v>0.06</v>
      </c>
      <c r="W87" s="120">
        <f t="shared" si="120"/>
        <v>0.06</v>
      </c>
      <c r="X87" s="120">
        <f t="shared" si="120"/>
        <v>0.06</v>
      </c>
      <c r="Y87" s="120">
        <f t="shared" si="120"/>
        <v>0.06</v>
      </c>
      <c r="Z87" s="120">
        <f t="shared" si="120"/>
        <v>0.06</v>
      </c>
      <c r="AA87" s="120">
        <f t="shared" si="120"/>
        <v>0.06</v>
      </c>
      <c r="AB87" s="120">
        <f t="shared" si="120"/>
        <v>0.06</v>
      </c>
      <c r="AC87" s="120">
        <f t="shared" si="120"/>
        <v>0.06</v>
      </c>
      <c r="AD87" s="120">
        <f t="shared" si="120"/>
        <v>0.06</v>
      </c>
      <c r="AE87" s="120">
        <f t="shared" si="120"/>
        <v>0.06</v>
      </c>
      <c r="AF87" s="120">
        <f t="shared" si="120"/>
        <v>0.06</v>
      </c>
      <c r="AG87" s="120">
        <f t="shared" si="120"/>
        <v>0.06</v>
      </c>
      <c r="AH87" s="120">
        <f t="shared" si="120"/>
        <v>0.06</v>
      </c>
      <c r="AI87" s="120">
        <f t="shared" si="120"/>
        <v>0.06</v>
      </c>
      <c r="AJ87" s="120">
        <f t="shared" si="120"/>
        <v>0.06</v>
      </c>
      <c r="AK87" s="120">
        <f t="shared" si="120"/>
        <v>0.06</v>
      </c>
    </row>
    <row r="88" spans="1:37">
      <c r="B88" s="102" t="s">
        <v>556</v>
      </c>
      <c r="H88" s="108">
        <f>H86*H87</f>
        <v>2.4378000000000002</v>
      </c>
      <c r="I88" s="108">
        <f t="shared" ref="I88:R88" si="121">I86*I87</f>
        <v>2.5109339999999998</v>
      </c>
      <c r="J88" s="108">
        <f t="shared" si="121"/>
        <v>2.5862620199999995</v>
      </c>
      <c r="K88" s="108">
        <f t="shared" si="121"/>
        <v>2.6638498805999999</v>
      </c>
      <c r="L88" s="108">
        <f t="shared" si="121"/>
        <v>2.7437653770179997</v>
      </c>
      <c r="M88" s="108">
        <f t="shared" si="121"/>
        <v>2.8260783383285397</v>
      </c>
      <c r="N88" s="108">
        <f t="shared" si="121"/>
        <v>2.9108606884783961</v>
      </c>
      <c r="O88" s="108">
        <f t="shared" si="121"/>
        <v>2.998186509132748</v>
      </c>
      <c r="P88" s="108">
        <f t="shared" si="121"/>
        <v>3.0881321044067302</v>
      </c>
      <c r="Q88" s="108">
        <f t="shared" si="121"/>
        <v>3.1807760675389321</v>
      </c>
      <c r="R88" s="108">
        <f t="shared" si="121"/>
        <v>3.2761993495650996</v>
      </c>
      <c r="S88" s="108">
        <f t="shared" ref="S88:AK88" si="122">S86*S87</f>
        <v>3.3744853300520528</v>
      </c>
      <c r="T88" s="108">
        <f t="shared" si="122"/>
        <v>3.4757198899536141</v>
      </c>
      <c r="U88" s="108">
        <f t="shared" si="122"/>
        <v>3.5799914866522222</v>
      </c>
      <c r="V88" s="108">
        <f t="shared" si="122"/>
        <v>3.6873912312517891</v>
      </c>
      <c r="W88" s="108">
        <f t="shared" si="122"/>
        <v>3.7980129681893438</v>
      </c>
      <c r="X88" s="108">
        <f t="shared" si="122"/>
        <v>3.9119533572350225</v>
      </c>
      <c r="Y88" s="108">
        <f t="shared" si="122"/>
        <v>4.029311957952074</v>
      </c>
      <c r="Z88" s="108">
        <f t="shared" si="122"/>
        <v>4.1501913166906359</v>
      </c>
      <c r="AA88" s="108">
        <f t="shared" si="122"/>
        <v>4.2746970561913553</v>
      </c>
      <c r="AB88" s="108">
        <f t="shared" si="122"/>
        <v>4.4029379678770955</v>
      </c>
      <c r="AC88" s="108">
        <f t="shared" si="122"/>
        <v>4.5350261069134072</v>
      </c>
      <c r="AD88" s="108">
        <f t="shared" si="122"/>
        <v>4.6710768901208102</v>
      </c>
      <c r="AE88" s="108">
        <f t="shared" si="122"/>
        <v>4.8112091968244348</v>
      </c>
      <c r="AF88" s="108">
        <f t="shared" si="122"/>
        <v>4.9555454727291677</v>
      </c>
      <c r="AG88" s="108">
        <f t="shared" si="122"/>
        <v>5.1042118369110421</v>
      </c>
      <c r="AH88" s="108">
        <f t="shared" si="122"/>
        <v>5.2573381920183735</v>
      </c>
      <c r="AI88" s="108">
        <f t="shared" si="122"/>
        <v>5.415058337778925</v>
      </c>
      <c r="AJ88" s="108">
        <f t="shared" si="122"/>
        <v>5.5775100879122927</v>
      </c>
      <c r="AK88" s="108">
        <f t="shared" si="122"/>
        <v>5.7448353905496612</v>
      </c>
    </row>
    <row r="90" spans="1:37">
      <c r="A90" s="102" t="s">
        <v>472</v>
      </c>
      <c r="B90" s="104" t="s">
        <v>588</v>
      </c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6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</row>
    <row r="91" spans="1:37">
      <c r="F91" s="767" t="s">
        <v>589</v>
      </c>
      <c r="G91" s="767"/>
      <c r="H91" s="767"/>
      <c r="I91" s="767"/>
      <c r="J91" s="767"/>
    </row>
    <row r="92" spans="1:37">
      <c r="E92" s="133">
        <f ca="1">G80</f>
        <v>0.19634050226147615</v>
      </c>
      <c r="F92" s="668">
        <v>3</v>
      </c>
      <c r="G92" s="668">
        <v>4</v>
      </c>
      <c r="H92" s="668">
        <v>5</v>
      </c>
      <c r="I92" s="668">
        <v>6</v>
      </c>
      <c r="J92" s="668">
        <v>7</v>
      </c>
    </row>
    <row r="93" spans="1:37">
      <c r="C93" s="768" t="s">
        <v>390</v>
      </c>
      <c r="D93" s="768"/>
      <c r="E93" s="669">
        <v>0.05</v>
      </c>
      <c r="F93" s="135">
        <f t="dataTable" ref="F93:J97" dt2D="1" dtr="1" r1="G25" r2="G23" ca="1"/>
        <v>0.54304710365042741</v>
      </c>
      <c r="G93" s="136">
        <v>0.41649264893254934</v>
      </c>
      <c r="H93" s="136">
        <v>0.34825750490093443</v>
      </c>
      <c r="I93" s="136">
        <v>0.30567157529818489</v>
      </c>
      <c r="J93" s="137">
        <v>0.27658827513446815</v>
      </c>
    </row>
    <row r="94" spans="1:37">
      <c r="C94" s="768"/>
      <c r="D94" s="768"/>
      <c r="E94" s="669">
        <v>5.2499999999999998E-2</v>
      </c>
      <c r="F94" s="138">
        <v>0.50495645858134175</v>
      </c>
      <c r="G94" s="135">
        <v>0.39208330745271613</v>
      </c>
      <c r="H94" s="136">
        <v>0.33084253461819069</v>
      </c>
      <c r="I94" s="137">
        <v>0.29245031283121969</v>
      </c>
      <c r="J94" s="139">
        <v>0.26613797790528015</v>
      </c>
    </row>
    <row r="95" spans="1:37">
      <c r="C95" s="768"/>
      <c r="D95" s="768"/>
      <c r="E95" s="669">
        <v>5.5E-2</v>
      </c>
      <c r="F95" s="138">
        <v>0.46870891631884382</v>
      </c>
      <c r="G95" s="138">
        <v>0.36876927331303899</v>
      </c>
      <c r="H95" s="140">
        <v>0.31418999931478853</v>
      </c>
      <c r="I95" s="139">
        <v>0.27980867549568589</v>
      </c>
      <c r="J95" s="139">
        <v>0.2561528069746104</v>
      </c>
      <c r="K95" s="118"/>
    </row>
    <row r="96" spans="1:37">
      <c r="C96" s="768"/>
      <c r="D96" s="768"/>
      <c r="E96" s="669">
        <v>5.7500000000000002E-2</v>
      </c>
      <c r="F96" s="138">
        <v>0.43410404046877549</v>
      </c>
      <c r="G96" s="141">
        <v>0.34643427006952199</v>
      </c>
      <c r="H96" s="142">
        <v>0.29822098169407885</v>
      </c>
      <c r="I96" s="143">
        <v>0.26768810496034678</v>
      </c>
      <c r="J96" s="139">
        <v>0.24658675750566839</v>
      </c>
    </row>
    <row r="97" spans="3:10">
      <c r="C97" s="768"/>
      <c r="D97" s="768"/>
      <c r="E97" s="669">
        <v>0.06</v>
      </c>
      <c r="F97" s="141">
        <v>0.40096870541883689</v>
      </c>
      <c r="G97" s="142">
        <v>0.32497751940511121</v>
      </c>
      <c r="H97" s="142">
        <v>0.2828670067761061</v>
      </c>
      <c r="I97" s="142">
        <v>0.25603777982721243</v>
      </c>
      <c r="J97" s="143">
        <v>0.23739990521470022</v>
      </c>
    </row>
  </sheetData>
  <mergeCells count="2">
    <mergeCell ref="F91:J91"/>
    <mergeCell ref="C93:D97"/>
  </mergeCells>
  <conditionalFormatting sqref="F93:J9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scale="48" orientation="portrait" r:id="rId1"/>
  <headerFooter>
    <oddHeader xml:space="preserve">&amp;L2019 ULI Hines Student Competition&amp;R2019-331 &amp;A 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343E0-B7C1-4B94-A0A8-E8551771E476}">
  <sheetPr>
    <tabColor rgb="FF002060"/>
  </sheetPr>
  <dimension ref="A2:AK92"/>
  <sheetViews>
    <sheetView showGridLines="0" view="pageBreakPreview" zoomScale="80" zoomScaleNormal="100" zoomScaleSheetLayoutView="80" workbookViewId="0"/>
  </sheetViews>
  <sheetFormatPr defaultRowHeight="14.4"/>
  <cols>
    <col min="1" max="4" width="1.6640625" style="102" customWidth="1"/>
    <col min="5" max="5" width="8.88671875" style="102"/>
    <col min="6" max="6" width="8.88671875" style="102" customWidth="1"/>
    <col min="7" max="7" width="16.33203125" style="102" customWidth="1"/>
    <col min="8" max="8" width="12.5546875" style="102" bestFit="1" customWidth="1"/>
    <col min="9" max="9" width="11.5546875" style="102" bestFit="1" customWidth="1"/>
    <col min="10" max="10" width="13.6640625" style="102" bestFit="1" customWidth="1"/>
    <col min="11" max="12" width="12.5546875" style="102" bestFit="1" customWidth="1"/>
    <col min="13" max="14" width="11.88671875" style="102" bestFit="1" customWidth="1"/>
    <col min="15" max="15" width="12.109375" style="102" bestFit="1" customWidth="1"/>
    <col min="16" max="16" width="13" style="103" customWidth="1"/>
    <col min="17" max="17" width="12.44140625" style="102" bestFit="1" customWidth="1"/>
    <col min="18" max="18" width="13.109375" style="102" bestFit="1" customWidth="1"/>
    <col min="19" max="21" width="8.88671875" style="102"/>
    <col min="22" max="22" width="14.109375" style="102" bestFit="1" customWidth="1"/>
    <col min="23" max="16384" width="8.88671875" style="102"/>
  </cols>
  <sheetData>
    <row r="2" spans="1:19">
      <c r="B2" s="410" t="s">
        <v>762</v>
      </c>
      <c r="P2" s="387"/>
    </row>
    <row r="3" spans="1:19" ht="15.6">
      <c r="B3" s="411" t="s">
        <v>763</v>
      </c>
      <c r="P3" s="387"/>
    </row>
    <row r="5" spans="1:19">
      <c r="A5" s="102" t="s">
        <v>472</v>
      </c>
      <c r="B5" s="104" t="s">
        <v>473</v>
      </c>
      <c r="C5" s="104"/>
      <c r="D5" s="104"/>
      <c r="E5" s="104"/>
      <c r="F5" s="104"/>
      <c r="G5" s="104"/>
      <c r="H5" s="104"/>
      <c r="I5" s="105"/>
      <c r="J5" s="104" t="s">
        <v>449</v>
      </c>
      <c r="K5" s="104"/>
      <c r="L5" s="104"/>
      <c r="M5" s="155"/>
      <c r="N5" s="104" t="s">
        <v>616</v>
      </c>
      <c r="O5" s="104"/>
      <c r="P5" s="104"/>
      <c r="Q5" s="104"/>
      <c r="R5" s="104"/>
    </row>
    <row r="6" spans="1:19">
      <c r="B6" s="102" t="s">
        <v>557</v>
      </c>
      <c r="G6" s="144">
        <f>'Area Matrix'!D23</f>
        <v>0</v>
      </c>
      <c r="J6" s="102" t="s">
        <v>591</v>
      </c>
      <c r="L6" s="107">
        <f ca="1">SUM('Area Matrix'!D38,'Area Matrix'!H38,'Area Matrix'!L38,'Area Matrix'!P38,'Area Matrix'!T38)</f>
        <v>0</v>
      </c>
      <c r="M6" s="157"/>
      <c r="N6" s="102" t="s">
        <v>609</v>
      </c>
      <c r="O6" s="156"/>
      <c r="R6" s="153" t="e">
        <f>H39/H33</f>
        <v>#DIV/0!</v>
      </c>
    </row>
    <row r="7" spans="1:19">
      <c r="J7" s="109" t="s">
        <v>507</v>
      </c>
      <c r="L7" s="147">
        <f ca="1">L6*G19</f>
        <v>0</v>
      </c>
      <c r="M7" s="157"/>
      <c r="N7" s="159" t="s">
        <v>607</v>
      </c>
      <c r="O7" s="156"/>
      <c r="R7" s="153">
        <v>27.384184279748244</v>
      </c>
      <c r="S7" s="110"/>
    </row>
    <row r="8" spans="1:19">
      <c r="B8" s="104" t="s">
        <v>606</v>
      </c>
      <c r="C8" s="104"/>
      <c r="D8" s="104"/>
      <c r="E8" s="104"/>
      <c r="F8" s="104"/>
      <c r="G8" s="104"/>
      <c r="H8" s="104"/>
      <c r="I8" s="105"/>
      <c r="J8" s="114" t="s">
        <v>453</v>
      </c>
      <c r="K8" s="111"/>
      <c r="L8" s="112">
        <f ca="1">SUM(L6:L7)</f>
        <v>0</v>
      </c>
      <c r="M8" s="156"/>
      <c r="N8" s="159" t="s">
        <v>608</v>
      </c>
      <c r="O8" s="156"/>
      <c r="R8" s="153">
        <v>11.341258467286163</v>
      </c>
      <c r="S8" s="115"/>
    </row>
    <row r="9" spans="1:19">
      <c r="B9" s="102" t="s">
        <v>592</v>
      </c>
      <c r="G9" s="148">
        <f>ROUNDDOWN(G6/250,0)</f>
        <v>0</v>
      </c>
      <c r="J9" s="103"/>
      <c r="M9" s="157"/>
      <c r="N9" s="159"/>
      <c r="O9" s="156"/>
    </row>
    <row r="10" spans="1:19">
      <c r="B10" s="102" t="s">
        <v>597</v>
      </c>
      <c r="G10" s="153">
        <v>100</v>
      </c>
      <c r="H10" s="102" t="s">
        <v>562</v>
      </c>
      <c r="J10" s="104" t="s">
        <v>499</v>
      </c>
      <c r="K10" s="104"/>
      <c r="L10" s="104"/>
      <c r="M10" s="157"/>
      <c r="N10" s="159" t="s">
        <v>610</v>
      </c>
      <c r="O10" s="156"/>
      <c r="R10" s="153">
        <v>40.301831789999994</v>
      </c>
    </row>
    <row r="11" spans="1:19">
      <c r="B11" s="102" t="s">
        <v>594</v>
      </c>
      <c r="G11" s="117">
        <v>0.03</v>
      </c>
      <c r="H11" s="102" t="s">
        <v>564</v>
      </c>
      <c r="J11" s="109" t="s">
        <v>478</v>
      </c>
      <c r="L11" s="107">
        <f ca="1">G26</f>
        <v>0</v>
      </c>
      <c r="M11" s="157"/>
      <c r="N11" s="159" t="s">
        <v>611</v>
      </c>
      <c r="O11" s="156"/>
      <c r="R11" s="153">
        <v>20.784065939999994</v>
      </c>
    </row>
    <row r="12" spans="1:19">
      <c r="B12" s="102" t="s">
        <v>596</v>
      </c>
      <c r="G12" s="117">
        <v>0.7</v>
      </c>
      <c r="J12" s="109" t="s">
        <v>28</v>
      </c>
      <c r="L12" s="107">
        <f ca="1">L13-L11</f>
        <v>0</v>
      </c>
      <c r="M12" s="157"/>
      <c r="N12" s="159" t="s">
        <v>612</v>
      </c>
      <c r="O12" s="156"/>
      <c r="R12" s="153">
        <v>2.2709679299999994</v>
      </c>
    </row>
    <row r="13" spans="1:19">
      <c r="B13" s="102" t="s">
        <v>523</v>
      </c>
      <c r="G13" s="117">
        <v>0.03</v>
      </c>
      <c r="J13" s="114" t="s">
        <v>458</v>
      </c>
      <c r="K13" s="111"/>
      <c r="L13" s="112">
        <f ca="1">L8</f>
        <v>0</v>
      </c>
      <c r="M13" s="157"/>
      <c r="N13" s="158"/>
      <c r="O13" s="156"/>
    </row>
    <row r="14" spans="1:19">
      <c r="B14" s="102" t="s">
        <v>600</v>
      </c>
      <c r="G14" s="154">
        <v>365</v>
      </c>
      <c r="J14" s="103"/>
      <c r="M14" s="156"/>
      <c r="N14" s="104" t="s">
        <v>624</v>
      </c>
      <c r="O14" s="104"/>
      <c r="P14" s="104"/>
      <c r="Q14" s="104"/>
      <c r="R14" s="104"/>
    </row>
    <row r="15" spans="1:19">
      <c r="B15" s="102" t="s">
        <v>566</v>
      </c>
      <c r="G15" s="117">
        <v>0.02</v>
      </c>
      <c r="J15" s="102" t="s">
        <v>394</v>
      </c>
      <c r="L15" s="117">
        <v>0.08</v>
      </c>
      <c r="M15" s="157"/>
      <c r="N15" s="102" t="s">
        <v>618</v>
      </c>
      <c r="O15" s="156"/>
      <c r="R15" s="153">
        <v>18.031694669999997</v>
      </c>
    </row>
    <row r="16" spans="1:19">
      <c r="B16" s="102" t="s">
        <v>389</v>
      </c>
      <c r="G16" s="145">
        <v>7.2999999999999995E-2</v>
      </c>
      <c r="N16" s="102" t="s">
        <v>619</v>
      </c>
      <c r="R16" s="153">
        <v>14.494426649999998</v>
      </c>
    </row>
    <row r="17" spans="1:37">
      <c r="B17" s="102" t="s">
        <v>390</v>
      </c>
      <c r="G17" s="145">
        <v>0.06</v>
      </c>
      <c r="N17" s="102" t="s">
        <v>620</v>
      </c>
      <c r="R17" s="153">
        <v>2.5012043099999999</v>
      </c>
    </row>
    <row r="18" spans="1:37">
      <c r="B18" s="102" t="s">
        <v>391</v>
      </c>
      <c r="G18" s="146">
        <v>10</v>
      </c>
      <c r="H18" s="102" t="s">
        <v>560</v>
      </c>
      <c r="N18" s="102" t="s">
        <v>621</v>
      </c>
      <c r="R18" s="153">
        <v>7.9326898199999984</v>
      </c>
    </row>
    <row r="19" spans="1:37">
      <c r="B19" s="102" t="s">
        <v>393</v>
      </c>
      <c r="G19" s="117">
        <v>0</v>
      </c>
      <c r="M19" s="107"/>
      <c r="N19" s="102" t="s">
        <v>36</v>
      </c>
      <c r="R19" s="153">
        <v>5.3268326099999985</v>
      </c>
    </row>
    <row r="20" spans="1:37">
      <c r="J20" s="118"/>
      <c r="M20" s="107"/>
      <c r="N20" s="102" t="s">
        <v>622</v>
      </c>
      <c r="R20" s="153">
        <v>2.7733018499999993</v>
      </c>
    </row>
    <row r="21" spans="1:37">
      <c r="J21" s="118"/>
      <c r="N21" s="103"/>
    </row>
    <row r="22" spans="1:37">
      <c r="B22" s="104" t="s">
        <v>576</v>
      </c>
      <c r="C22" s="104"/>
      <c r="D22" s="104"/>
      <c r="E22" s="104"/>
      <c r="F22" s="104"/>
      <c r="G22" s="104"/>
      <c r="H22" s="104"/>
      <c r="I22" s="105"/>
      <c r="N22" s="103"/>
    </row>
    <row r="23" spans="1:37">
      <c r="B23" s="102" t="s">
        <v>577</v>
      </c>
      <c r="G23" s="117">
        <v>0.7</v>
      </c>
      <c r="H23" s="102" t="s">
        <v>578</v>
      </c>
      <c r="J23" s="115"/>
      <c r="N23" s="103"/>
    </row>
    <row r="24" spans="1:37">
      <c r="B24" s="102" t="s">
        <v>460</v>
      </c>
      <c r="G24" s="117">
        <v>0.05</v>
      </c>
      <c r="J24" s="115"/>
    </row>
    <row r="25" spans="1:37">
      <c r="B25" s="102" t="s">
        <v>540</v>
      </c>
      <c r="G25" s="102">
        <v>30</v>
      </c>
      <c r="H25" s="102" t="s">
        <v>579</v>
      </c>
    </row>
    <row r="26" spans="1:37">
      <c r="B26" s="102" t="s">
        <v>580</v>
      </c>
      <c r="G26" s="107">
        <f ca="1">G23*L8</f>
        <v>0</v>
      </c>
    </row>
    <row r="27" spans="1:37">
      <c r="B27" s="102" t="s">
        <v>581</v>
      </c>
      <c r="G27" s="107">
        <f ca="1">PMT(G24/12,G25*12,G26)</f>
        <v>0</v>
      </c>
    </row>
    <row r="29" spans="1:37">
      <c r="A29" s="102" t="s">
        <v>472</v>
      </c>
      <c r="B29" s="104" t="s">
        <v>513</v>
      </c>
      <c r="C29" s="104"/>
      <c r="D29" s="104"/>
      <c r="E29" s="104"/>
      <c r="F29" s="104"/>
      <c r="G29" s="119">
        <v>0</v>
      </c>
      <c r="H29" s="119">
        <f>G29+1</f>
        <v>1</v>
      </c>
      <c r="I29" s="119">
        <f t="shared" ref="I29:R29" si="0">H29+1</f>
        <v>2</v>
      </c>
      <c r="J29" s="119">
        <f t="shared" si="0"/>
        <v>3</v>
      </c>
      <c r="K29" s="119">
        <f t="shared" si="0"/>
        <v>4</v>
      </c>
      <c r="L29" s="119">
        <f t="shared" si="0"/>
        <v>5</v>
      </c>
      <c r="M29" s="119">
        <f t="shared" si="0"/>
        <v>6</v>
      </c>
      <c r="N29" s="119">
        <f t="shared" si="0"/>
        <v>7</v>
      </c>
      <c r="O29" s="119">
        <f t="shared" si="0"/>
        <v>8</v>
      </c>
      <c r="P29" s="119">
        <f t="shared" si="0"/>
        <v>9</v>
      </c>
      <c r="Q29" s="119">
        <f t="shared" si="0"/>
        <v>10</v>
      </c>
      <c r="R29" s="119">
        <f t="shared" si="0"/>
        <v>11</v>
      </c>
      <c r="S29" s="119">
        <f t="shared" ref="S29" si="1">R29+1</f>
        <v>12</v>
      </c>
      <c r="T29" s="119">
        <f t="shared" ref="T29" si="2">S29+1</f>
        <v>13</v>
      </c>
      <c r="U29" s="119">
        <f t="shared" ref="U29" si="3">T29+1</f>
        <v>14</v>
      </c>
      <c r="V29" s="119">
        <f t="shared" ref="V29" si="4">U29+1</f>
        <v>15</v>
      </c>
      <c r="W29" s="119">
        <f t="shared" ref="W29" si="5">V29+1</f>
        <v>16</v>
      </c>
      <c r="X29" s="119">
        <f t="shared" ref="X29" si="6">W29+1</f>
        <v>17</v>
      </c>
      <c r="Y29" s="119">
        <f t="shared" ref="Y29" si="7">X29+1</f>
        <v>18</v>
      </c>
      <c r="Z29" s="119">
        <f t="shared" ref="Z29" si="8">Y29+1</f>
        <v>19</v>
      </c>
      <c r="AA29" s="119">
        <f t="shared" ref="AA29" si="9">Z29+1</f>
        <v>20</v>
      </c>
      <c r="AB29" s="119">
        <f t="shared" ref="AB29" si="10">AA29+1</f>
        <v>21</v>
      </c>
      <c r="AC29" s="119">
        <f t="shared" ref="AC29" si="11">AB29+1</f>
        <v>22</v>
      </c>
      <c r="AD29" s="119">
        <f t="shared" ref="AD29" si="12">AC29+1</f>
        <v>23</v>
      </c>
      <c r="AE29" s="119">
        <f t="shared" ref="AE29" si="13">AD29+1</f>
        <v>24</v>
      </c>
      <c r="AF29" s="119">
        <f t="shared" ref="AF29" si="14">AE29+1</f>
        <v>25</v>
      </c>
      <c r="AG29" s="119">
        <f t="shared" ref="AG29" si="15">AF29+1</f>
        <v>26</v>
      </c>
      <c r="AH29" s="119">
        <f t="shared" ref="AH29" si="16">AG29+1</f>
        <v>27</v>
      </c>
      <c r="AI29" s="119">
        <f t="shared" ref="AI29" si="17">AH29+1</f>
        <v>28</v>
      </c>
      <c r="AJ29" s="119">
        <f t="shared" ref="AJ29" si="18">AI29+1</f>
        <v>29</v>
      </c>
      <c r="AK29" s="119">
        <f t="shared" ref="AK29" si="19">AJ29+1</f>
        <v>30</v>
      </c>
    </row>
    <row r="30" spans="1:37">
      <c r="B30" s="102" t="s">
        <v>595</v>
      </c>
      <c r="G30" s="107">
        <f ca="1">-L8</f>
        <v>0</v>
      </c>
    </row>
    <row r="31" spans="1:37">
      <c r="I31" s="121"/>
    </row>
    <row r="32" spans="1:37">
      <c r="B32" s="102" t="s">
        <v>598</v>
      </c>
      <c r="H32" s="150">
        <f>$G$9</f>
        <v>0</v>
      </c>
      <c r="I32" s="150">
        <f t="shared" ref="I32:AK32" si="20">$G$9</f>
        <v>0</v>
      </c>
      <c r="J32" s="150">
        <f t="shared" si="20"/>
        <v>0</v>
      </c>
      <c r="K32" s="150">
        <f t="shared" si="20"/>
        <v>0</v>
      </c>
      <c r="L32" s="150">
        <f t="shared" si="20"/>
        <v>0</v>
      </c>
      <c r="M32" s="150">
        <f t="shared" si="20"/>
        <v>0</v>
      </c>
      <c r="N32" s="150">
        <f t="shared" si="20"/>
        <v>0</v>
      </c>
      <c r="O32" s="150">
        <f t="shared" si="20"/>
        <v>0</v>
      </c>
      <c r="P32" s="150">
        <f t="shared" si="20"/>
        <v>0</v>
      </c>
      <c r="Q32" s="150">
        <f t="shared" si="20"/>
        <v>0</v>
      </c>
      <c r="R32" s="150">
        <f t="shared" si="20"/>
        <v>0</v>
      </c>
      <c r="S32" s="150">
        <f t="shared" si="20"/>
        <v>0</v>
      </c>
      <c r="T32" s="150">
        <f t="shared" si="20"/>
        <v>0</v>
      </c>
      <c r="U32" s="150">
        <f t="shared" si="20"/>
        <v>0</v>
      </c>
      <c r="V32" s="150">
        <f t="shared" si="20"/>
        <v>0</v>
      </c>
      <c r="W32" s="150">
        <f t="shared" si="20"/>
        <v>0</v>
      </c>
      <c r="X32" s="150">
        <f t="shared" si="20"/>
        <v>0</v>
      </c>
      <c r="Y32" s="150">
        <f t="shared" si="20"/>
        <v>0</v>
      </c>
      <c r="Z32" s="150">
        <f t="shared" si="20"/>
        <v>0</v>
      </c>
      <c r="AA32" s="150">
        <f t="shared" si="20"/>
        <v>0</v>
      </c>
      <c r="AB32" s="150">
        <f t="shared" si="20"/>
        <v>0</v>
      </c>
      <c r="AC32" s="150">
        <f t="shared" si="20"/>
        <v>0</v>
      </c>
      <c r="AD32" s="150">
        <f t="shared" si="20"/>
        <v>0</v>
      </c>
      <c r="AE32" s="150">
        <f t="shared" si="20"/>
        <v>0</v>
      </c>
      <c r="AF32" s="150">
        <f t="shared" si="20"/>
        <v>0</v>
      </c>
      <c r="AG32" s="150">
        <f t="shared" si="20"/>
        <v>0</v>
      </c>
      <c r="AH32" s="150">
        <f t="shared" si="20"/>
        <v>0</v>
      </c>
      <c r="AI32" s="150">
        <f t="shared" si="20"/>
        <v>0</v>
      </c>
      <c r="AJ32" s="150">
        <f t="shared" si="20"/>
        <v>0</v>
      </c>
      <c r="AK32" s="150">
        <f t="shared" si="20"/>
        <v>0</v>
      </c>
    </row>
    <row r="33" spans="2:37">
      <c r="B33" s="102" t="s">
        <v>602</v>
      </c>
      <c r="H33" s="152">
        <f t="shared" ref="H33:R33" si="21">H32*H36*$G$14</f>
        <v>0</v>
      </c>
      <c r="I33" s="152">
        <f t="shared" si="21"/>
        <v>0</v>
      </c>
      <c r="J33" s="152">
        <f t="shared" si="21"/>
        <v>0</v>
      </c>
      <c r="K33" s="152">
        <f t="shared" si="21"/>
        <v>0</v>
      </c>
      <c r="L33" s="152">
        <f t="shared" si="21"/>
        <v>0</v>
      </c>
      <c r="M33" s="152">
        <f t="shared" si="21"/>
        <v>0</v>
      </c>
      <c r="N33" s="152">
        <f t="shared" si="21"/>
        <v>0</v>
      </c>
      <c r="O33" s="152">
        <f t="shared" si="21"/>
        <v>0</v>
      </c>
      <c r="P33" s="152">
        <f t="shared" si="21"/>
        <v>0</v>
      </c>
      <c r="Q33" s="152">
        <f t="shared" si="21"/>
        <v>0</v>
      </c>
      <c r="R33" s="152">
        <f t="shared" si="21"/>
        <v>0</v>
      </c>
      <c r="S33" s="152">
        <f t="shared" ref="S33" si="22">S32*S36*$G$14</f>
        <v>0</v>
      </c>
      <c r="T33" s="152">
        <f t="shared" ref="T33" si="23">T32*T36*$G$14</f>
        <v>0</v>
      </c>
      <c r="U33" s="152">
        <f t="shared" ref="U33" si="24">U32*U36*$G$14</f>
        <v>0</v>
      </c>
      <c r="V33" s="152">
        <f t="shared" ref="V33" si="25">V32*V36*$G$14</f>
        <v>0</v>
      </c>
      <c r="W33" s="152">
        <f t="shared" ref="W33" si="26">W32*W36*$G$14</f>
        <v>0</v>
      </c>
      <c r="X33" s="152">
        <f t="shared" ref="X33" si="27">X32*X36*$G$14</f>
        <v>0</v>
      </c>
      <c r="Y33" s="152">
        <f t="shared" ref="Y33" si="28">Y32*Y36*$G$14</f>
        <v>0</v>
      </c>
      <c r="Z33" s="152">
        <f t="shared" ref="Z33" si="29">Z32*Z36*$G$14</f>
        <v>0</v>
      </c>
      <c r="AA33" s="152">
        <f t="shared" ref="AA33" si="30">AA32*AA36*$G$14</f>
        <v>0</v>
      </c>
      <c r="AB33" s="152">
        <f t="shared" ref="AB33" si="31">AB32*AB36*$G$14</f>
        <v>0</v>
      </c>
      <c r="AC33" s="152">
        <f t="shared" ref="AC33" si="32">AC32*AC36*$G$14</f>
        <v>0</v>
      </c>
      <c r="AD33" s="152">
        <f t="shared" ref="AD33" si="33">AD32*AD36*$G$14</f>
        <v>0</v>
      </c>
      <c r="AE33" s="152">
        <f t="shared" ref="AE33" si="34">AE32*AE36*$G$14</f>
        <v>0</v>
      </c>
      <c r="AF33" s="152">
        <f t="shared" ref="AF33" si="35">AF32*AF36*$G$14</f>
        <v>0</v>
      </c>
      <c r="AG33" s="152">
        <f t="shared" ref="AG33" si="36">AG32*AG36*$G$14</f>
        <v>0</v>
      </c>
      <c r="AH33" s="152">
        <f t="shared" ref="AH33" si="37">AH32*AH36*$G$14</f>
        <v>0</v>
      </c>
      <c r="AI33" s="152">
        <f t="shared" ref="AI33" si="38">AI32*AI36*$G$14</f>
        <v>0</v>
      </c>
      <c r="AJ33" s="152">
        <f t="shared" ref="AJ33" si="39">AJ32*AJ36*$G$14</f>
        <v>0</v>
      </c>
      <c r="AK33" s="152">
        <f t="shared" ref="AK33" si="40">AK32*AK36*$G$14</f>
        <v>0</v>
      </c>
    </row>
    <row r="34" spans="2:37">
      <c r="B34" s="102" t="s">
        <v>599</v>
      </c>
      <c r="H34" s="152">
        <f t="shared" ref="H34:R34" si="41">H32*$G$14</f>
        <v>0</v>
      </c>
      <c r="I34" s="152">
        <f t="shared" si="41"/>
        <v>0</v>
      </c>
      <c r="J34" s="152">
        <f t="shared" si="41"/>
        <v>0</v>
      </c>
      <c r="K34" s="152">
        <f t="shared" si="41"/>
        <v>0</v>
      </c>
      <c r="L34" s="152">
        <f t="shared" si="41"/>
        <v>0</v>
      </c>
      <c r="M34" s="152">
        <f t="shared" si="41"/>
        <v>0</v>
      </c>
      <c r="N34" s="152">
        <f t="shared" si="41"/>
        <v>0</v>
      </c>
      <c r="O34" s="152">
        <f t="shared" si="41"/>
        <v>0</v>
      </c>
      <c r="P34" s="152">
        <f t="shared" si="41"/>
        <v>0</v>
      </c>
      <c r="Q34" s="152">
        <f t="shared" si="41"/>
        <v>0</v>
      </c>
      <c r="R34" s="152">
        <f t="shared" si="41"/>
        <v>0</v>
      </c>
      <c r="S34" s="152">
        <f t="shared" ref="S34:AK34" si="42">S32*$G$14</f>
        <v>0</v>
      </c>
      <c r="T34" s="152">
        <f t="shared" si="42"/>
        <v>0</v>
      </c>
      <c r="U34" s="152">
        <f t="shared" si="42"/>
        <v>0</v>
      </c>
      <c r="V34" s="152">
        <f t="shared" si="42"/>
        <v>0</v>
      </c>
      <c r="W34" s="152">
        <f t="shared" si="42"/>
        <v>0</v>
      </c>
      <c r="X34" s="152">
        <f t="shared" si="42"/>
        <v>0</v>
      </c>
      <c r="Y34" s="152">
        <f t="shared" si="42"/>
        <v>0</v>
      </c>
      <c r="Z34" s="152">
        <f t="shared" si="42"/>
        <v>0</v>
      </c>
      <c r="AA34" s="152">
        <f t="shared" si="42"/>
        <v>0</v>
      </c>
      <c r="AB34" s="152">
        <f t="shared" si="42"/>
        <v>0</v>
      </c>
      <c r="AC34" s="152">
        <f t="shared" si="42"/>
        <v>0</v>
      </c>
      <c r="AD34" s="152">
        <f t="shared" si="42"/>
        <v>0</v>
      </c>
      <c r="AE34" s="152">
        <f t="shared" si="42"/>
        <v>0</v>
      </c>
      <c r="AF34" s="152">
        <f t="shared" si="42"/>
        <v>0</v>
      </c>
      <c r="AG34" s="152">
        <f t="shared" si="42"/>
        <v>0</v>
      </c>
      <c r="AH34" s="152">
        <f t="shared" si="42"/>
        <v>0</v>
      </c>
      <c r="AI34" s="152">
        <f t="shared" si="42"/>
        <v>0</v>
      </c>
      <c r="AJ34" s="152">
        <f t="shared" si="42"/>
        <v>0</v>
      </c>
      <c r="AK34" s="152">
        <f t="shared" si="42"/>
        <v>0</v>
      </c>
    </row>
    <row r="35" spans="2:37">
      <c r="B35" s="102" t="s">
        <v>593</v>
      </c>
      <c r="H35" s="107">
        <f t="shared" ref="H35:R35" si="43">$G$10*((1+$G$11)^G29)</f>
        <v>100</v>
      </c>
      <c r="I35" s="107">
        <f t="shared" si="43"/>
        <v>103</v>
      </c>
      <c r="J35" s="107">
        <f t="shared" si="43"/>
        <v>106.08999999999999</v>
      </c>
      <c r="K35" s="107">
        <f t="shared" si="43"/>
        <v>109.2727</v>
      </c>
      <c r="L35" s="107">
        <f t="shared" si="43"/>
        <v>112.55088099999999</v>
      </c>
      <c r="M35" s="107">
        <f t="shared" si="43"/>
        <v>115.92740742999999</v>
      </c>
      <c r="N35" s="107">
        <f t="shared" si="43"/>
        <v>119.40522965289999</v>
      </c>
      <c r="O35" s="107">
        <f t="shared" si="43"/>
        <v>122.987386542487</v>
      </c>
      <c r="P35" s="107">
        <f t="shared" si="43"/>
        <v>126.67700813876159</v>
      </c>
      <c r="Q35" s="107">
        <f t="shared" si="43"/>
        <v>130.47731838292444</v>
      </c>
      <c r="R35" s="107">
        <f t="shared" si="43"/>
        <v>134.39163793441219</v>
      </c>
      <c r="S35" s="107">
        <f t="shared" ref="S35:AK35" si="44">$G$10*((1+$G$11)^R29)</f>
        <v>138.42338707244454</v>
      </c>
      <c r="T35" s="107">
        <f t="shared" si="44"/>
        <v>142.57608868461787</v>
      </c>
      <c r="U35" s="107">
        <f t="shared" si="44"/>
        <v>146.8533713451564</v>
      </c>
      <c r="V35" s="107">
        <f t="shared" si="44"/>
        <v>151.25897248551109</v>
      </c>
      <c r="W35" s="107">
        <f t="shared" si="44"/>
        <v>155.79674166007644</v>
      </c>
      <c r="X35" s="107">
        <f t="shared" si="44"/>
        <v>160.4706439098787</v>
      </c>
      <c r="Y35" s="107">
        <f t="shared" si="44"/>
        <v>165.28476322717506</v>
      </c>
      <c r="Z35" s="107">
        <f t="shared" si="44"/>
        <v>170.24330612399032</v>
      </c>
      <c r="AA35" s="107">
        <f t="shared" si="44"/>
        <v>175.35060530771003</v>
      </c>
      <c r="AB35" s="107">
        <f t="shared" si="44"/>
        <v>180.61112346694134</v>
      </c>
      <c r="AC35" s="107">
        <f t="shared" si="44"/>
        <v>186.02945717094954</v>
      </c>
      <c r="AD35" s="107">
        <f t="shared" si="44"/>
        <v>191.61034088607803</v>
      </c>
      <c r="AE35" s="107">
        <f t="shared" si="44"/>
        <v>197.3586511126604</v>
      </c>
      <c r="AF35" s="107">
        <f t="shared" si="44"/>
        <v>203.27941064604019</v>
      </c>
      <c r="AG35" s="107">
        <f t="shared" si="44"/>
        <v>209.37779296542138</v>
      </c>
      <c r="AH35" s="107">
        <f t="shared" si="44"/>
        <v>215.65912675438406</v>
      </c>
      <c r="AI35" s="107">
        <f t="shared" si="44"/>
        <v>222.12890055701556</v>
      </c>
      <c r="AJ35" s="107">
        <f t="shared" si="44"/>
        <v>228.79276757372602</v>
      </c>
      <c r="AK35" s="107">
        <f t="shared" si="44"/>
        <v>235.65655060093778</v>
      </c>
    </row>
    <row r="36" spans="2:37">
      <c r="B36" s="102" t="s">
        <v>412</v>
      </c>
      <c r="H36" s="151">
        <f>$G$12</f>
        <v>0.7</v>
      </c>
      <c r="I36" s="151">
        <f t="shared" ref="I36:AK36" si="45">$G$12</f>
        <v>0.7</v>
      </c>
      <c r="J36" s="151">
        <f t="shared" si="45"/>
        <v>0.7</v>
      </c>
      <c r="K36" s="151">
        <f t="shared" si="45"/>
        <v>0.7</v>
      </c>
      <c r="L36" s="151">
        <f t="shared" si="45"/>
        <v>0.7</v>
      </c>
      <c r="M36" s="151">
        <f t="shared" si="45"/>
        <v>0.7</v>
      </c>
      <c r="N36" s="151">
        <f t="shared" si="45"/>
        <v>0.7</v>
      </c>
      <c r="O36" s="151">
        <f t="shared" si="45"/>
        <v>0.7</v>
      </c>
      <c r="P36" s="151">
        <f t="shared" si="45"/>
        <v>0.7</v>
      </c>
      <c r="Q36" s="151">
        <f t="shared" si="45"/>
        <v>0.7</v>
      </c>
      <c r="R36" s="151">
        <f t="shared" si="45"/>
        <v>0.7</v>
      </c>
      <c r="S36" s="151">
        <f t="shared" si="45"/>
        <v>0.7</v>
      </c>
      <c r="T36" s="151">
        <f t="shared" si="45"/>
        <v>0.7</v>
      </c>
      <c r="U36" s="151">
        <f t="shared" si="45"/>
        <v>0.7</v>
      </c>
      <c r="V36" s="151">
        <f t="shared" si="45"/>
        <v>0.7</v>
      </c>
      <c r="W36" s="151">
        <f t="shared" si="45"/>
        <v>0.7</v>
      </c>
      <c r="X36" s="151">
        <f t="shared" si="45"/>
        <v>0.7</v>
      </c>
      <c r="Y36" s="151">
        <f t="shared" si="45"/>
        <v>0.7</v>
      </c>
      <c r="Z36" s="151">
        <f t="shared" si="45"/>
        <v>0.7</v>
      </c>
      <c r="AA36" s="151">
        <f t="shared" si="45"/>
        <v>0.7</v>
      </c>
      <c r="AB36" s="151">
        <f t="shared" si="45"/>
        <v>0.7</v>
      </c>
      <c r="AC36" s="151">
        <f t="shared" si="45"/>
        <v>0.7</v>
      </c>
      <c r="AD36" s="151">
        <f t="shared" si="45"/>
        <v>0.7</v>
      </c>
      <c r="AE36" s="151">
        <f t="shared" si="45"/>
        <v>0.7</v>
      </c>
      <c r="AF36" s="151">
        <f t="shared" si="45"/>
        <v>0.7</v>
      </c>
      <c r="AG36" s="151">
        <f t="shared" si="45"/>
        <v>0.7</v>
      </c>
      <c r="AH36" s="151">
        <f t="shared" si="45"/>
        <v>0.7</v>
      </c>
      <c r="AI36" s="151">
        <f t="shared" si="45"/>
        <v>0.7</v>
      </c>
      <c r="AJ36" s="151">
        <f t="shared" si="45"/>
        <v>0.7</v>
      </c>
      <c r="AK36" s="151">
        <f t="shared" si="45"/>
        <v>0.7</v>
      </c>
    </row>
    <row r="37" spans="2:37">
      <c r="B37" s="102" t="s">
        <v>601</v>
      </c>
      <c r="H37" s="107">
        <f>H35*H36</f>
        <v>70</v>
      </c>
      <c r="I37" s="107">
        <f t="shared" ref="I37:R37" si="46">I35*I36</f>
        <v>72.099999999999994</v>
      </c>
      <c r="J37" s="107">
        <f t="shared" si="46"/>
        <v>74.262999999999991</v>
      </c>
      <c r="K37" s="107">
        <f t="shared" si="46"/>
        <v>76.490889999999993</v>
      </c>
      <c r="L37" s="107">
        <f t="shared" si="46"/>
        <v>78.785616699999991</v>
      </c>
      <c r="M37" s="107">
        <f t="shared" si="46"/>
        <v>81.14918520099998</v>
      </c>
      <c r="N37" s="107">
        <f t="shared" si="46"/>
        <v>83.583660757029989</v>
      </c>
      <c r="O37" s="107">
        <f t="shared" si="46"/>
        <v>86.09117057974089</v>
      </c>
      <c r="P37" s="107">
        <f t="shared" si="46"/>
        <v>88.673905697133108</v>
      </c>
      <c r="Q37" s="107">
        <f t="shared" si="46"/>
        <v>91.334122868047103</v>
      </c>
      <c r="R37" s="107">
        <f t="shared" si="46"/>
        <v>94.074146554088529</v>
      </c>
      <c r="S37" s="107">
        <f t="shared" ref="S37:AK37" si="47">S35*S36</f>
        <v>96.896370950711173</v>
      </c>
      <c r="T37" s="107">
        <f t="shared" si="47"/>
        <v>99.80326207923251</v>
      </c>
      <c r="U37" s="107">
        <f t="shared" si="47"/>
        <v>102.79735994160947</v>
      </c>
      <c r="V37" s="107">
        <f t="shared" si="47"/>
        <v>105.88128073985776</v>
      </c>
      <c r="W37" s="107">
        <f t="shared" si="47"/>
        <v>109.0577191620535</v>
      </c>
      <c r="X37" s="107">
        <f t="shared" si="47"/>
        <v>112.32945073691508</v>
      </c>
      <c r="Y37" s="107">
        <f t="shared" si="47"/>
        <v>115.69933425902254</v>
      </c>
      <c r="Z37" s="107">
        <f t="shared" si="47"/>
        <v>119.17031428679321</v>
      </c>
      <c r="AA37" s="107">
        <f t="shared" si="47"/>
        <v>122.74542371539701</v>
      </c>
      <c r="AB37" s="107">
        <f t="shared" si="47"/>
        <v>126.42778642685893</v>
      </c>
      <c r="AC37" s="107">
        <f t="shared" si="47"/>
        <v>130.22062001966466</v>
      </c>
      <c r="AD37" s="107">
        <f t="shared" si="47"/>
        <v>134.12723862025462</v>
      </c>
      <c r="AE37" s="107">
        <f t="shared" si="47"/>
        <v>138.15105577886226</v>
      </c>
      <c r="AF37" s="107">
        <f t="shared" si="47"/>
        <v>142.29558745222812</v>
      </c>
      <c r="AG37" s="107">
        <f t="shared" si="47"/>
        <v>146.56445507579497</v>
      </c>
      <c r="AH37" s="107">
        <f t="shared" si="47"/>
        <v>150.96138872806884</v>
      </c>
      <c r="AI37" s="107">
        <f t="shared" si="47"/>
        <v>155.49023038991089</v>
      </c>
      <c r="AJ37" s="107">
        <f t="shared" si="47"/>
        <v>160.15493730160821</v>
      </c>
      <c r="AK37" s="107">
        <f t="shared" si="47"/>
        <v>164.95958542065642</v>
      </c>
    </row>
    <row r="38" spans="2:37"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</row>
    <row r="39" spans="2:37">
      <c r="B39" s="149" t="s">
        <v>603</v>
      </c>
      <c r="H39" s="107">
        <f>H37*H34</f>
        <v>0</v>
      </c>
      <c r="I39" s="107">
        <f t="shared" ref="I39:R39" si="48">I37*I34</f>
        <v>0</v>
      </c>
      <c r="J39" s="107">
        <f t="shared" si="48"/>
        <v>0</v>
      </c>
      <c r="K39" s="107">
        <f t="shared" si="48"/>
        <v>0</v>
      </c>
      <c r="L39" s="107">
        <f t="shared" si="48"/>
        <v>0</v>
      </c>
      <c r="M39" s="107">
        <f t="shared" si="48"/>
        <v>0</v>
      </c>
      <c r="N39" s="107">
        <f t="shared" si="48"/>
        <v>0</v>
      </c>
      <c r="O39" s="107">
        <f t="shared" si="48"/>
        <v>0</v>
      </c>
      <c r="P39" s="107">
        <f t="shared" si="48"/>
        <v>0</v>
      </c>
      <c r="Q39" s="107">
        <f t="shared" si="48"/>
        <v>0</v>
      </c>
      <c r="R39" s="107">
        <f t="shared" si="48"/>
        <v>0</v>
      </c>
      <c r="S39" s="107">
        <f t="shared" ref="S39:AK39" si="49">S37*S34</f>
        <v>0</v>
      </c>
      <c r="T39" s="107">
        <f t="shared" si="49"/>
        <v>0</v>
      </c>
      <c r="U39" s="107">
        <f t="shared" si="49"/>
        <v>0</v>
      </c>
      <c r="V39" s="107">
        <f t="shared" si="49"/>
        <v>0</v>
      </c>
      <c r="W39" s="107">
        <f t="shared" si="49"/>
        <v>0</v>
      </c>
      <c r="X39" s="107">
        <f t="shared" si="49"/>
        <v>0</v>
      </c>
      <c r="Y39" s="107">
        <f t="shared" si="49"/>
        <v>0</v>
      </c>
      <c r="Z39" s="107">
        <f t="shared" si="49"/>
        <v>0</v>
      </c>
      <c r="AA39" s="107">
        <f t="shared" si="49"/>
        <v>0</v>
      </c>
      <c r="AB39" s="107">
        <f t="shared" si="49"/>
        <v>0</v>
      </c>
      <c r="AC39" s="107">
        <f t="shared" si="49"/>
        <v>0</v>
      </c>
      <c r="AD39" s="107">
        <f t="shared" si="49"/>
        <v>0</v>
      </c>
      <c r="AE39" s="107">
        <f t="shared" si="49"/>
        <v>0</v>
      </c>
      <c r="AF39" s="107">
        <f t="shared" si="49"/>
        <v>0</v>
      </c>
      <c r="AG39" s="107">
        <f t="shared" si="49"/>
        <v>0</v>
      </c>
      <c r="AH39" s="107">
        <f t="shared" si="49"/>
        <v>0</v>
      </c>
      <c r="AI39" s="107">
        <f t="shared" si="49"/>
        <v>0</v>
      </c>
      <c r="AJ39" s="107">
        <f t="shared" si="49"/>
        <v>0</v>
      </c>
      <c r="AK39" s="107">
        <f t="shared" si="49"/>
        <v>0</v>
      </c>
    </row>
    <row r="40" spans="2:37">
      <c r="B40" s="149" t="s">
        <v>604</v>
      </c>
      <c r="H40" s="107">
        <f t="shared" ref="H40:AK40" si="50">H$33*$R$7</f>
        <v>0</v>
      </c>
      <c r="I40" s="107">
        <f t="shared" si="50"/>
        <v>0</v>
      </c>
      <c r="J40" s="107">
        <f t="shared" si="50"/>
        <v>0</v>
      </c>
      <c r="K40" s="107">
        <f t="shared" si="50"/>
        <v>0</v>
      </c>
      <c r="L40" s="107">
        <f t="shared" si="50"/>
        <v>0</v>
      </c>
      <c r="M40" s="107">
        <f t="shared" si="50"/>
        <v>0</v>
      </c>
      <c r="N40" s="107">
        <f t="shared" si="50"/>
        <v>0</v>
      </c>
      <c r="O40" s="107">
        <f t="shared" si="50"/>
        <v>0</v>
      </c>
      <c r="P40" s="107">
        <f t="shared" si="50"/>
        <v>0</v>
      </c>
      <c r="Q40" s="107">
        <f t="shared" si="50"/>
        <v>0</v>
      </c>
      <c r="R40" s="107">
        <f t="shared" si="50"/>
        <v>0</v>
      </c>
      <c r="S40" s="107">
        <f t="shared" si="50"/>
        <v>0</v>
      </c>
      <c r="T40" s="107">
        <f t="shared" si="50"/>
        <v>0</v>
      </c>
      <c r="U40" s="107">
        <f t="shared" si="50"/>
        <v>0</v>
      </c>
      <c r="V40" s="107">
        <f t="shared" si="50"/>
        <v>0</v>
      </c>
      <c r="W40" s="107">
        <f t="shared" si="50"/>
        <v>0</v>
      </c>
      <c r="X40" s="107">
        <f t="shared" si="50"/>
        <v>0</v>
      </c>
      <c r="Y40" s="107">
        <f t="shared" si="50"/>
        <v>0</v>
      </c>
      <c r="Z40" s="107">
        <f t="shared" si="50"/>
        <v>0</v>
      </c>
      <c r="AA40" s="107">
        <f t="shared" si="50"/>
        <v>0</v>
      </c>
      <c r="AB40" s="107">
        <f t="shared" si="50"/>
        <v>0</v>
      </c>
      <c r="AC40" s="107">
        <f t="shared" si="50"/>
        <v>0</v>
      </c>
      <c r="AD40" s="107">
        <f t="shared" si="50"/>
        <v>0</v>
      </c>
      <c r="AE40" s="107">
        <f t="shared" si="50"/>
        <v>0</v>
      </c>
      <c r="AF40" s="107">
        <f t="shared" si="50"/>
        <v>0</v>
      </c>
      <c r="AG40" s="107">
        <f t="shared" si="50"/>
        <v>0</v>
      </c>
      <c r="AH40" s="107">
        <f t="shared" si="50"/>
        <v>0</v>
      </c>
      <c r="AI40" s="107">
        <f t="shared" si="50"/>
        <v>0</v>
      </c>
      <c r="AJ40" s="107">
        <f t="shared" si="50"/>
        <v>0</v>
      </c>
      <c r="AK40" s="107">
        <f t="shared" si="50"/>
        <v>0</v>
      </c>
    </row>
    <row r="41" spans="2:37">
      <c r="B41" s="149" t="s">
        <v>605</v>
      </c>
      <c r="H41" s="107">
        <f t="shared" ref="H41:AK41" si="51">H33*$R$8</f>
        <v>0</v>
      </c>
      <c r="I41" s="107">
        <f t="shared" si="51"/>
        <v>0</v>
      </c>
      <c r="J41" s="107">
        <f t="shared" si="51"/>
        <v>0</v>
      </c>
      <c r="K41" s="107">
        <f t="shared" si="51"/>
        <v>0</v>
      </c>
      <c r="L41" s="107">
        <f t="shared" si="51"/>
        <v>0</v>
      </c>
      <c r="M41" s="107">
        <f t="shared" si="51"/>
        <v>0</v>
      </c>
      <c r="N41" s="107">
        <f t="shared" si="51"/>
        <v>0</v>
      </c>
      <c r="O41" s="107">
        <f t="shared" si="51"/>
        <v>0</v>
      </c>
      <c r="P41" s="107">
        <f t="shared" si="51"/>
        <v>0</v>
      </c>
      <c r="Q41" s="107">
        <f t="shared" si="51"/>
        <v>0</v>
      </c>
      <c r="R41" s="107">
        <f t="shared" si="51"/>
        <v>0</v>
      </c>
      <c r="S41" s="107">
        <f t="shared" si="51"/>
        <v>0</v>
      </c>
      <c r="T41" s="107">
        <f t="shared" si="51"/>
        <v>0</v>
      </c>
      <c r="U41" s="107">
        <f t="shared" si="51"/>
        <v>0</v>
      </c>
      <c r="V41" s="107">
        <f t="shared" si="51"/>
        <v>0</v>
      </c>
      <c r="W41" s="107">
        <f t="shared" si="51"/>
        <v>0</v>
      </c>
      <c r="X41" s="107">
        <f t="shared" si="51"/>
        <v>0</v>
      </c>
      <c r="Y41" s="107">
        <f t="shared" si="51"/>
        <v>0</v>
      </c>
      <c r="Z41" s="107">
        <f t="shared" si="51"/>
        <v>0</v>
      </c>
      <c r="AA41" s="107">
        <f t="shared" si="51"/>
        <v>0</v>
      </c>
      <c r="AB41" s="107">
        <f t="shared" si="51"/>
        <v>0</v>
      </c>
      <c r="AC41" s="107">
        <f t="shared" si="51"/>
        <v>0</v>
      </c>
      <c r="AD41" s="107">
        <f t="shared" si="51"/>
        <v>0</v>
      </c>
      <c r="AE41" s="107">
        <f t="shared" si="51"/>
        <v>0</v>
      </c>
      <c r="AF41" s="107">
        <f t="shared" si="51"/>
        <v>0</v>
      </c>
      <c r="AG41" s="107">
        <f t="shared" si="51"/>
        <v>0</v>
      </c>
      <c r="AH41" s="107">
        <f t="shared" si="51"/>
        <v>0</v>
      </c>
      <c r="AI41" s="107">
        <f t="shared" si="51"/>
        <v>0</v>
      </c>
      <c r="AJ41" s="107">
        <f t="shared" si="51"/>
        <v>0</v>
      </c>
      <c r="AK41" s="107">
        <f t="shared" si="51"/>
        <v>0</v>
      </c>
    </row>
    <row r="42" spans="2:37">
      <c r="B42" s="111" t="s">
        <v>10</v>
      </c>
      <c r="C42" s="111"/>
      <c r="D42" s="111"/>
      <c r="E42" s="111"/>
      <c r="F42" s="111"/>
      <c r="G42" s="111"/>
      <c r="H42" s="112">
        <f>SUM(H39:H41)</f>
        <v>0</v>
      </c>
      <c r="I42" s="112">
        <f t="shared" ref="I42:R42" si="52">SUM(I39:I41)</f>
        <v>0</v>
      </c>
      <c r="J42" s="112">
        <f t="shared" si="52"/>
        <v>0</v>
      </c>
      <c r="K42" s="112">
        <f t="shared" si="52"/>
        <v>0</v>
      </c>
      <c r="L42" s="112">
        <f t="shared" si="52"/>
        <v>0</v>
      </c>
      <c r="M42" s="112">
        <f t="shared" si="52"/>
        <v>0</v>
      </c>
      <c r="N42" s="112">
        <f t="shared" si="52"/>
        <v>0</v>
      </c>
      <c r="O42" s="112">
        <f t="shared" si="52"/>
        <v>0</v>
      </c>
      <c r="P42" s="112">
        <f t="shared" si="52"/>
        <v>0</v>
      </c>
      <c r="Q42" s="112">
        <f t="shared" si="52"/>
        <v>0</v>
      </c>
      <c r="R42" s="112">
        <f t="shared" si="52"/>
        <v>0</v>
      </c>
      <c r="S42" s="112">
        <f t="shared" ref="S42:AK42" si="53">SUM(S39:S41)</f>
        <v>0</v>
      </c>
      <c r="T42" s="112">
        <f t="shared" si="53"/>
        <v>0</v>
      </c>
      <c r="U42" s="112">
        <f t="shared" si="53"/>
        <v>0</v>
      </c>
      <c r="V42" s="112">
        <f t="shared" si="53"/>
        <v>0</v>
      </c>
      <c r="W42" s="112">
        <f t="shared" si="53"/>
        <v>0</v>
      </c>
      <c r="X42" s="112">
        <f t="shared" si="53"/>
        <v>0</v>
      </c>
      <c r="Y42" s="112">
        <f t="shared" si="53"/>
        <v>0</v>
      </c>
      <c r="Z42" s="112">
        <f t="shared" si="53"/>
        <v>0</v>
      </c>
      <c r="AA42" s="112">
        <f t="shared" si="53"/>
        <v>0</v>
      </c>
      <c r="AB42" s="112">
        <f t="shared" si="53"/>
        <v>0</v>
      </c>
      <c r="AC42" s="112">
        <f t="shared" si="53"/>
        <v>0</v>
      </c>
      <c r="AD42" s="112">
        <f t="shared" si="53"/>
        <v>0</v>
      </c>
      <c r="AE42" s="112">
        <f t="shared" si="53"/>
        <v>0</v>
      </c>
      <c r="AF42" s="112">
        <f t="shared" si="53"/>
        <v>0</v>
      </c>
      <c r="AG42" s="112">
        <f t="shared" si="53"/>
        <v>0</v>
      </c>
      <c r="AH42" s="112">
        <f t="shared" si="53"/>
        <v>0</v>
      </c>
      <c r="AI42" s="112">
        <f t="shared" si="53"/>
        <v>0</v>
      </c>
      <c r="AJ42" s="112">
        <f t="shared" si="53"/>
        <v>0</v>
      </c>
      <c r="AK42" s="112">
        <f t="shared" si="53"/>
        <v>0</v>
      </c>
    </row>
    <row r="43" spans="2:37"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</row>
    <row r="44" spans="2:37">
      <c r="B44" s="102" t="s">
        <v>615</v>
      </c>
      <c r="H44" s="107">
        <f t="shared" ref="H44:AK44" si="54">H$33*$R10</f>
        <v>0</v>
      </c>
      <c r="I44" s="107">
        <f t="shared" si="54"/>
        <v>0</v>
      </c>
      <c r="J44" s="107">
        <f t="shared" si="54"/>
        <v>0</v>
      </c>
      <c r="K44" s="107">
        <f t="shared" si="54"/>
        <v>0</v>
      </c>
      <c r="L44" s="107">
        <f t="shared" si="54"/>
        <v>0</v>
      </c>
      <c r="M44" s="107">
        <f t="shared" si="54"/>
        <v>0</v>
      </c>
      <c r="N44" s="107">
        <f t="shared" si="54"/>
        <v>0</v>
      </c>
      <c r="O44" s="107">
        <f t="shared" si="54"/>
        <v>0</v>
      </c>
      <c r="P44" s="107">
        <f t="shared" si="54"/>
        <v>0</v>
      </c>
      <c r="Q44" s="107">
        <f t="shared" si="54"/>
        <v>0</v>
      </c>
      <c r="R44" s="107">
        <f t="shared" si="54"/>
        <v>0</v>
      </c>
      <c r="S44" s="107">
        <f t="shared" si="54"/>
        <v>0</v>
      </c>
      <c r="T44" s="107">
        <f t="shared" si="54"/>
        <v>0</v>
      </c>
      <c r="U44" s="107">
        <f t="shared" si="54"/>
        <v>0</v>
      </c>
      <c r="V44" s="107">
        <f t="shared" si="54"/>
        <v>0</v>
      </c>
      <c r="W44" s="107">
        <f t="shared" si="54"/>
        <v>0</v>
      </c>
      <c r="X44" s="107">
        <f t="shared" si="54"/>
        <v>0</v>
      </c>
      <c r="Y44" s="107">
        <f t="shared" si="54"/>
        <v>0</v>
      </c>
      <c r="Z44" s="107">
        <f t="shared" si="54"/>
        <v>0</v>
      </c>
      <c r="AA44" s="107">
        <f t="shared" si="54"/>
        <v>0</v>
      </c>
      <c r="AB44" s="107">
        <f t="shared" si="54"/>
        <v>0</v>
      </c>
      <c r="AC44" s="107">
        <f t="shared" si="54"/>
        <v>0</v>
      </c>
      <c r="AD44" s="107">
        <f t="shared" si="54"/>
        <v>0</v>
      </c>
      <c r="AE44" s="107">
        <f t="shared" si="54"/>
        <v>0</v>
      </c>
      <c r="AF44" s="107">
        <f t="shared" si="54"/>
        <v>0</v>
      </c>
      <c r="AG44" s="107">
        <f t="shared" si="54"/>
        <v>0</v>
      </c>
      <c r="AH44" s="107">
        <f t="shared" si="54"/>
        <v>0</v>
      </c>
      <c r="AI44" s="107">
        <f t="shared" si="54"/>
        <v>0</v>
      </c>
      <c r="AJ44" s="107">
        <f t="shared" si="54"/>
        <v>0</v>
      </c>
      <c r="AK44" s="107">
        <f t="shared" si="54"/>
        <v>0</v>
      </c>
    </row>
    <row r="45" spans="2:37">
      <c r="B45" s="102" t="s">
        <v>614</v>
      </c>
      <c r="H45" s="107">
        <f t="shared" ref="H45:AK45" si="55">H$33*$R11</f>
        <v>0</v>
      </c>
      <c r="I45" s="107">
        <f t="shared" si="55"/>
        <v>0</v>
      </c>
      <c r="J45" s="107">
        <f t="shared" si="55"/>
        <v>0</v>
      </c>
      <c r="K45" s="107">
        <f t="shared" si="55"/>
        <v>0</v>
      </c>
      <c r="L45" s="107">
        <f t="shared" si="55"/>
        <v>0</v>
      </c>
      <c r="M45" s="107">
        <f t="shared" si="55"/>
        <v>0</v>
      </c>
      <c r="N45" s="107">
        <f t="shared" si="55"/>
        <v>0</v>
      </c>
      <c r="O45" s="107">
        <f t="shared" si="55"/>
        <v>0</v>
      </c>
      <c r="P45" s="107">
        <f t="shared" si="55"/>
        <v>0</v>
      </c>
      <c r="Q45" s="107">
        <f t="shared" si="55"/>
        <v>0</v>
      </c>
      <c r="R45" s="107">
        <f t="shared" si="55"/>
        <v>0</v>
      </c>
      <c r="S45" s="107">
        <f t="shared" si="55"/>
        <v>0</v>
      </c>
      <c r="T45" s="107">
        <f t="shared" si="55"/>
        <v>0</v>
      </c>
      <c r="U45" s="107">
        <f t="shared" si="55"/>
        <v>0</v>
      </c>
      <c r="V45" s="107">
        <f t="shared" si="55"/>
        <v>0</v>
      </c>
      <c r="W45" s="107">
        <f t="shared" si="55"/>
        <v>0</v>
      </c>
      <c r="X45" s="107">
        <f t="shared" si="55"/>
        <v>0</v>
      </c>
      <c r="Y45" s="107">
        <f t="shared" si="55"/>
        <v>0</v>
      </c>
      <c r="Z45" s="107">
        <f t="shared" si="55"/>
        <v>0</v>
      </c>
      <c r="AA45" s="107">
        <f t="shared" si="55"/>
        <v>0</v>
      </c>
      <c r="AB45" s="107">
        <f t="shared" si="55"/>
        <v>0</v>
      </c>
      <c r="AC45" s="107">
        <f t="shared" si="55"/>
        <v>0</v>
      </c>
      <c r="AD45" s="107">
        <f t="shared" si="55"/>
        <v>0</v>
      </c>
      <c r="AE45" s="107">
        <f t="shared" si="55"/>
        <v>0</v>
      </c>
      <c r="AF45" s="107">
        <f t="shared" si="55"/>
        <v>0</v>
      </c>
      <c r="AG45" s="107">
        <f t="shared" si="55"/>
        <v>0</v>
      </c>
      <c r="AH45" s="107">
        <f t="shared" si="55"/>
        <v>0</v>
      </c>
      <c r="AI45" s="107">
        <f t="shared" si="55"/>
        <v>0</v>
      </c>
      <c r="AJ45" s="107">
        <f t="shared" si="55"/>
        <v>0</v>
      </c>
      <c r="AK45" s="107">
        <f t="shared" si="55"/>
        <v>0</v>
      </c>
    </row>
    <row r="46" spans="2:37">
      <c r="B46" s="102" t="s">
        <v>613</v>
      </c>
      <c r="H46" s="107">
        <f t="shared" ref="H46:AK46" si="56">H$33*$R12</f>
        <v>0</v>
      </c>
      <c r="I46" s="107">
        <f t="shared" si="56"/>
        <v>0</v>
      </c>
      <c r="J46" s="107">
        <f t="shared" si="56"/>
        <v>0</v>
      </c>
      <c r="K46" s="107">
        <f t="shared" si="56"/>
        <v>0</v>
      </c>
      <c r="L46" s="107">
        <f t="shared" si="56"/>
        <v>0</v>
      </c>
      <c r="M46" s="107">
        <f t="shared" si="56"/>
        <v>0</v>
      </c>
      <c r="N46" s="107">
        <f t="shared" si="56"/>
        <v>0</v>
      </c>
      <c r="O46" s="107">
        <f t="shared" si="56"/>
        <v>0</v>
      </c>
      <c r="P46" s="107">
        <f t="shared" si="56"/>
        <v>0</v>
      </c>
      <c r="Q46" s="107">
        <f t="shared" si="56"/>
        <v>0</v>
      </c>
      <c r="R46" s="107">
        <f t="shared" si="56"/>
        <v>0</v>
      </c>
      <c r="S46" s="107">
        <f t="shared" si="56"/>
        <v>0</v>
      </c>
      <c r="T46" s="107">
        <f t="shared" si="56"/>
        <v>0</v>
      </c>
      <c r="U46" s="107">
        <f t="shared" si="56"/>
        <v>0</v>
      </c>
      <c r="V46" s="107">
        <f t="shared" si="56"/>
        <v>0</v>
      </c>
      <c r="W46" s="107">
        <f t="shared" si="56"/>
        <v>0</v>
      </c>
      <c r="X46" s="107">
        <f t="shared" si="56"/>
        <v>0</v>
      </c>
      <c r="Y46" s="107">
        <f t="shared" si="56"/>
        <v>0</v>
      </c>
      <c r="Z46" s="107">
        <f t="shared" si="56"/>
        <v>0</v>
      </c>
      <c r="AA46" s="107">
        <f t="shared" si="56"/>
        <v>0</v>
      </c>
      <c r="AB46" s="107">
        <f t="shared" si="56"/>
        <v>0</v>
      </c>
      <c r="AC46" s="107">
        <f t="shared" si="56"/>
        <v>0</v>
      </c>
      <c r="AD46" s="107">
        <f t="shared" si="56"/>
        <v>0</v>
      </c>
      <c r="AE46" s="107">
        <f t="shared" si="56"/>
        <v>0</v>
      </c>
      <c r="AF46" s="107">
        <f t="shared" si="56"/>
        <v>0</v>
      </c>
      <c r="AG46" s="107">
        <f t="shared" si="56"/>
        <v>0</v>
      </c>
      <c r="AH46" s="107">
        <f t="shared" si="56"/>
        <v>0</v>
      </c>
      <c r="AI46" s="107">
        <f t="shared" si="56"/>
        <v>0</v>
      </c>
      <c r="AJ46" s="107">
        <f t="shared" si="56"/>
        <v>0</v>
      </c>
      <c r="AK46" s="107">
        <f t="shared" si="56"/>
        <v>0</v>
      </c>
    </row>
    <row r="47" spans="2:37">
      <c r="B47" s="111" t="s">
        <v>414</v>
      </c>
      <c r="C47" s="111"/>
      <c r="D47" s="111"/>
      <c r="E47" s="111"/>
      <c r="F47" s="111"/>
      <c r="G47" s="111"/>
      <c r="H47" s="112">
        <f>SUM(H44:H46)</f>
        <v>0</v>
      </c>
      <c r="I47" s="112">
        <f t="shared" ref="I47:R47" si="57">SUM(I44:I46)</f>
        <v>0</v>
      </c>
      <c r="J47" s="112">
        <f t="shared" si="57"/>
        <v>0</v>
      </c>
      <c r="K47" s="112">
        <f t="shared" si="57"/>
        <v>0</v>
      </c>
      <c r="L47" s="112">
        <f t="shared" si="57"/>
        <v>0</v>
      </c>
      <c r="M47" s="112">
        <f t="shared" si="57"/>
        <v>0</v>
      </c>
      <c r="N47" s="112">
        <f t="shared" si="57"/>
        <v>0</v>
      </c>
      <c r="O47" s="112">
        <f t="shared" si="57"/>
        <v>0</v>
      </c>
      <c r="P47" s="112">
        <f t="shared" si="57"/>
        <v>0</v>
      </c>
      <c r="Q47" s="112">
        <f t="shared" si="57"/>
        <v>0</v>
      </c>
      <c r="R47" s="112">
        <f t="shared" si="57"/>
        <v>0</v>
      </c>
      <c r="S47" s="112">
        <f t="shared" ref="S47:AK47" si="58">SUM(S44:S46)</f>
        <v>0</v>
      </c>
      <c r="T47" s="112">
        <f t="shared" si="58"/>
        <v>0</v>
      </c>
      <c r="U47" s="112">
        <f t="shared" si="58"/>
        <v>0</v>
      </c>
      <c r="V47" s="112">
        <f t="shared" si="58"/>
        <v>0</v>
      </c>
      <c r="W47" s="112">
        <f t="shared" si="58"/>
        <v>0</v>
      </c>
      <c r="X47" s="112">
        <f t="shared" si="58"/>
        <v>0</v>
      </c>
      <c r="Y47" s="112">
        <f t="shared" si="58"/>
        <v>0</v>
      </c>
      <c r="Z47" s="112">
        <f t="shared" si="58"/>
        <v>0</v>
      </c>
      <c r="AA47" s="112">
        <f t="shared" si="58"/>
        <v>0</v>
      </c>
      <c r="AB47" s="112">
        <f t="shared" si="58"/>
        <v>0</v>
      </c>
      <c r="AC47" s="112">
        <f t="shared" si="58"/>
        <v>0</v>
      </c>
      <c r="AD47" s="112">
        <f t="shared" si="58"/>
        <v>0</v>
      </c>
      <c r="AE47" s="112">
        <f t="shared" si="58"/>
        <v>0</v>
      </c>
      <c r="AF47" s="112">
        <f t="shared" si="58"/>
        <v>0</v>
      </c>
      <c r="AG47" s="112">
        <f t="shared" si="58"/>
        <v>0</v>
      </c>
      <c r="AH47" s="112">
        <f t="shared" si="58"/>
        <v>0</v>
      </c>
      <c r="AI47" s="112">
        <f t="shared" si="58"/>
        <v>0</v>
      </c>
      <c r="AJ47" s="112">
        <f t="shared" si="58"/>
        <v>0</v>
      </c>
      <c r="AK47" s="112">
        <f t="shared" si="58"/>
        <v>0</v>
      </c>
    </row>
    <row r="49" spans="2:37">
      <c r="B49" s="161" t="s">
        <v>617</v>
      </c>
    </row>
    <row r="50" spans="2:37">
      <c r="B50" s="102" t="s">
        <v>618</v>
      </c>
      <c r="H50" s="107">
        <f t="shared" ref="H50:AK50" si="59">H$33*$R15</f>
        <v>0</v>
      </c>
      <c r="I50" s="107">
        <f t="shared" si="59"/>
        <v>0</v>
      </c>
      <c r="J50" s="107">
        <f t="shared" si="59"/>
        <v>0</v>
      </c>
      <c r="K50" s="107">
        <f t="shared" si="59"/>
        <v>0</v>
      </c>
      <c r="L50" s="107">
        <f t="shared" si="59"/>
        <v>0</v>
      </c>
      <c r="M50" s="107">
        <f t="shared" si="59"/>
        <v>0</v>
      </c>
      <c r="N50" s="107">
        <f t="shared" si="59"/>
        <v>0</v>
      </c>
      <c r="O50" s="107">
        <f t="shared" si="59"/>
        <v>0</v>
      </c>
      <c r="P50" s="107">
        <f t="shared" si="59"/>
        <v>0</v>
      </c>
      <c r="Q50" s="107">
        <f t="shared" si="59"/>
        <v>0</v>
      </c>
      <c r="R50" s="107">
        <f t="shared" si="59"/>
        <v>0</v>
      </c>
      <c r="S50" s="107">
        <f t="shared" si="59"/>
        <v>0</v>
      </c>
      <c r="T50" s="107">
        <f t="shared" si="59"/>
        <v>0</v>
      </c>
      <c r="U50" s="107">
        <f t="shared" si="59"/>
        <v>0</v>
      </c>
      <c r="V50" s="107">
        <f t="shared" si="59"/>
        <v>0</v>
      </c>
      <c r="W50" s="107">
        <f t="shared" si="59"/>
        <v>0</v>
      </c>
      <c r="X50" s="107">
        <f t="shared" si="59"/>
        <v>0</v>
      </c>
      <c r="Y50" s="107">
        <f t="shared" si="59"/>
        <v>0</v>
      </c>
      <c r="Z50" s="107">
        <f t="shared" si="59"/>
        <v>0</v>
      </c>
      <c r="AA50" s="107">
        <f t="shared" si="59"/>
        <v>0</v>
      </c>
      <c r="AB50" s="107">
        <f t="shared" si="59"/>
        <v>0</v>
      </c>
      <c r="AC50" s="107">
        <f t="shared" si="59"/>
        <v>0</v>
      </c>
      <c r="AD50" s="107">
        <f t="shared" si="59"/>
        <v>0</v>
      </c>
      <c r="AE50" s="107">
        <f t="shared" si="59"/>
        <v>0</v>
      </c>
      <c r="AF50" s="107">
        <f t="shared" si="59"/>
        <v>0</v>
      </c>
      <c r="AG50" s="107">
        <f t="shared" si="59"/>
        <v>0</v>
      </c>
      <c r="AH50" s="107">
        <f t="shared" si="59"/>
        <v>0</v>
      </c>
      <c r="AI50" s="107">
        <f t="shared" si="59"/>
        <v>0</v>
      </c>
      <c r="AJ50" s="107">
        <f t="shared" si="59"/>
        <v>0</v>
      </c>
      <c r="AK50" s="107">
        <f t="shared" si="59"/>
        <v>0</v>
      </c>
    </row>
    <row r="51" spans="2:37">
      <c r="B51" s="102" t="s">
        <v>619</v>
      </c>
      <c r="H51" s="107">
        <f t="shared" ref="H51:AK51" si="60">H$33*$R16</f>
        <v>0</v>
      </c>
      <c r="I51" s="107">
        <f t="shared" si="60"/>
        <v>0</v>
      </c>
      <c r="J51" s="107">
        <f t="shared" si="60"/>
        <v>0</v>
      </c>
      <c r="K51" s="107">
        <f t="shared" si="60"/>
        <v>0</v>
      </c>
      <c r="L51" s="107">
        <f t="shared" si="60"/>
        <v>0</v>
      </c>
      <c r="M51" s="107">
        <f t="shared" si="60"/>
        <v>0</v>
      </c>
      <c r="N51" s="107">
        <f t="shared" si="60"/>
        <v>0</v>
      </c>
      <c r="O51" s="107">
        <f t="shared" si="60"/>
        <v>0</v>
      </c>
      <c r="P51" s="107">
        <f t="shared" si="60"/>
        <v>0</v>
      </c>
      <c r="Q51" s="107">
        <f t="shared" si="60"/>
        <v>0</v>
      </c>
      <c r="R51" s="107">
        <f t="shared" si="60"/>
        <v>0</v>
      </c>
      <c r="S51" s="107">
        <f t="shared" si="60"/>
        <v>0</v>
      </c>
      <c r="T51" s="107">
        <f t="shared" si="60"/>
        <v>0</v>
      </c>
      <c r="U51" s="107">
        <f t="shared" si="60"/>
        <v>0</v>
      </c>
      <c r="V51" s="107">
        <f t="shared" si="60"/>
        <v>0</v>
      </c>
      <c r="W51" s="107">
        <f t="shared" si="60"/>
        <v>0</v>
      </c>
      <c r="X51" s="107">
        <f t="shared" si="60"/>
        <v>0</v>
      </c>
      <c r="Y51" s="107">
        <f t="shared" si="60"/>
        <v>0</v>
      </c>
      <c r="Z51" s="107">
        <f t="shared" si="60"/>
        <v>0</v>
      </c>
      <c r="AA51" s="107">
        <f t="shared" si="60"/>
        <v>0</v>
      </c>
      <c r="AB51" s="107">
        <f t="shared" si="60"/>
        <v>0</v>
      </c>
      <c r="AC51" s="107">
        <f t="shared" si="60"/>
        <v>0</v>
      </c>
      <c r="AD51" s="107">
        <f t="shared" si="60"/>
        <v>0</v>
      </c>
      <c r="AE51" s="107">
        <f t="shared" si="60"/>
        <v>0</v>
      </c>
      <c r="AF51" s="107">
        <f t="shared" si="60"/>
        <v>0</v>
      </c>
      <c r="AG51" s="107">
        <f t="shared" si="60"/>
        <v>0</v>
      </c>
      <c r="AH51" s="107">
        <f t="shared" si="60"/>
        <v>0</v>
      </c>
      <c r="AI51" s="107">
        <f t="shared" si="60"/>
        <v>0</v>
      </c>
      <c r="AJ51" s="107">
        <f t="shared" si="60"/>
        <v>0</v>
      </c>
      <c r="AK51" s="107">
        <f t="shared" si="60"/>
        <v>0</v>
      </c>
    </row>
    <row r="52" spans="2:37">
      <c r="B52" s="102" t="s">
        <v>620</v>
      </c>
      <c r="H52" s="107">
        <f t="shared" ref="H52:AK52" si="61">H$33*$R17</f>
        <v>0</v>
      </c>
      <c r="I52" s="107">
        <f t="shared" si="61"/>
        <v>0</v>
      </c>
      <c r="J52" s="107">
        <f t="shared" si="61"/>
        <v>0</v>
      </c>
      <c r="K52" s="107">
        <f t="shared" si="61"/>
        <v>0</v>
      </c>
      <c r="L52" s="107">
        <f t="shared" si="61"/>
        <v>0</v>
      </c>
      <c r="M52" s="107">
        <f t="shared" si="61"/>
        <v>0</v>
      </c>
      <c r="N52" s="107">
        <f t="shared" si="61"/>
        <v>0</v>
      </c>
      <c r="O52" s="107">
        <f t="shared" si="61"/>
        <v>0</v>
      </c>
      <c r="P52" s="107">
        <f t="shared" si="61"/>
        <v>0</v>
      </c>
      <c r="Q52" s="107">
        <f t="shared" si="61"/>
        <v>0</v>
      </c>
      <c r="R52" s="107">
        <f t="shared" si="61"/>
        <v>0</v>
      </c>
      <c r="S52" s="107">
        <f t="shared" si="61"/>
        <v>0</v>
      </c>
      <c r="T52" s="107">
        <f t="shared" si="61"/>
        <v>0</v>
      </c>
      <c r="U52" s="107">
        <f t="shared" si="61"/>
        <v>0</v>
      </c>
      <c r="V52" s="107">
        <f t="shared" si="61"/>
        <v>0</v>
      </c>
      <c r="W52" s="107">
        <f t="shared" si="61"/>
        <v>0</v>
      </c>
      <c r="X52" s="107">
        <f t="shared" si="61"/>
        <v>0</v>
      </c>
      <c r="Y52" s="107">
        <f t="shared" si="61"/>
        <v>0</v>
      </c>
      <c r="Z52" s="107">
        <f t="shared" si="61"/>
        <v>0</v>
      </c>
      <c r="AA52" s="107">
        <f t="shared" si="61"/>
        <v>0</v>
      </c>
      <c r="AB52" s="107">
        <f t="shared" si="61"/>
        <v>0</v>
      </c>
      <c r="AC52" s="107">
        <f t="shared" si="61"/>
        <v>0</v>
      </c>
      <c r="AD52" s="107">
        <f t="shared" si="61"/>
        <v>0</v>
      </c>
      <c r="AE52" s="107">
        <f t="shared" si="61"/>
        <v>0</v>
      </c>
      <c r="AF52" s="107">
        <f t="shared" si="61"/>
        <v>0</v>
      </c>
      <c r="AG52" s="107">
        <f t="shared" si="61"/>
        <v>0</v>
      </c>
      <c r="AH52" s="107">
        <f t="shared" si="61"/>
        <v>0</v>
      </c>
      <c r="AI52" s="107">
        <f t="shared" si="61"/>
        <v>0</v>
      </c>
      <c r="AJ52" s="107">
        <f t="shared" si="61"/>
        <v>0</v>
      </c>
      <c r="AK52" s="107">
        <f t="shared" si="61"/>
        <v>0</v>
      </c>
    </row>
    <row r="53" spans="2:37">
      <c r="B53" s="102" t="s">
        <v>621</v>
      </c>
      <c r="H53" s="107">
        <f t="shared" ref="H53:AK53" si="62">H$33*$R18</f>
        <v>0</v>
      </c>
      <c r="I53" s="107">
        <f t="shared" si="62"/>
        <v>0</v>
      </c>
      <c r="J53" s="107">
        <f t="shared" si="62"/>
        <v>0</v>
      </c>
      <c r="K53" s="107">
        <f t="shared" si="62"/>
        <v>0</v>
      </c>
      <c r="L53" s="107">
        <f t="shared" si="62"/>
        <v>0</v>
      </c>
      <c r="M53" s="107">
        <f t="shared" si="62"/>
        <v>0</v>
      </c>
      <c r="N53" s="107">
        <f t="shared" si="62"/>
        <v>0</v>
      </c>
      <c r="O53" s="107">
        <f t="shared" si="62"/>
        <v>0</v>
      </c>
      <c r="P53" s="107">
        <f t="shared" si="62"/>
        <v>0</v>
      </c>
      <c r="Q53" s="107">
        <f t="shared" si="62"/>
        <v>0</v>
      </c>
      <c r="R53" s="107">
        <f t="shared" si="62"/>
        <v>0</v>
      </c>
      <c r="S53" s="107">
        <f t="shared" si="62"/>
        <v>0</v>
      </c>
      <c r="T53" s="107">
        <f t="shared" si="62"/>
        <v>0</v>
      </c>
      <c r="U53" s="107">
        <f t="shared" si="62"/>
        <v>0</v>
      </c>
      <c r="V53" s="107">
        <f t="shared" si="62"/>
        <v>0</v>
      </c>
      <c r="W53" s="107">
        <f t="shared" si="62"/>
        <v>0</v>
      </c>
      <c r="X53" s="107">
        <f t="shared" si="62"/>
        <v>0</v>
      </c>
      <c r="Y53" s="107">
        <f t="shared" si="62"/>
        <v>0</v>
      </c>
      <c r="Z53" s="107">
        <f t="shared" si="62"/>
        <v>0</v>
      </c>
      <c r="AA53" s="107">
        <f t="shared" si="62"/>
        <v>0</v>
      </c>
      <c r="AB53" s="107">
        <f t="shared" si="62"/>
        <v>0</v>
      </c>
      <c r="AC53" s="107">
        <f t="shared" si="62"/>
        <v>0</v>
      </c>
      <c r="AD53" s="107">
        <f t="shared" si="62"/>
        <v>0</v>
      </c>
      <c r="AE53" s="107">
        <f t="shared" si="62"/>
        <v>0</v>
      </c>
      <c r="AF53" s="107">
        <f t="shared" si="62"/>
        <v>0</v>
      </c>
      <c r="AG53" s="107">
        <f t="shared" si="62"/>
        <v>0</v>
      </c>
      <c r="AH53" s="107">
        <f t="shared" si="62"/>
        <v>0</v>
      </c>
      <c r="AI53" s="107">
        <f t="shared" si="62"/>
        <v>0</v>
      </c>
      <c r="AJ53" s="107">
        <f t="shared" si="62"/>
        <v>0</v>
      </c>
      <c r="AK53" s="107">
        <f t="shared" si="62"/>
        <v>0</v>
      </c>
    </row>
    <row r="54" spans="2:37">
      <c r="B54" s="102" t="s">
        <v>36</v>
      </c>
      <c r="H54" s="107">
        <f t="shared" ref="H54:AK54" si="63">H$33*$R19</f>
        <v>0</v>
      </c>
      <c r="I54" s="107">
        <f t="shared" si="63"/>
        <v>0</v>
      </c>
      <c r="J54" s="107">
        <f t="shared" si="63"/>
        <v>0</v>
      </c>
      <c r="K54" s="107">
        <f t="shared" si="63"/>
        <v>0</v>
      </c>
      <c r="L54" s="107">
        <f t="shared" si="63"/>
        <v>0</v>
      </c>
      <c r="M54" s="107">
        <f t="shared" si="63"/>
        <v>0</v>
      </c>
      <c r="N54" s="107">
        <f t="shared" si="63"/>
        <v>0</v>
      </c>
      <c r="O54" s="107">
        <f t="shared" si="63"/>
        <v>0</v>
      </c>
      <c r="P54" s="107">
        <f t="shared" si="63"/>
        <v>0</v>
      </c>
      <c r="Q54" s="107">
        <f t="shared" si="63"/>
        <v>0</v>
      </c>
      <c r="R54" s="107">
        <f t="shared" si="63"/>
        <v>0</v>
      </c>
      <c r="S54" s="107">
        <f t="shared" si="63"/>
        <v>0</v>
      </c>
      <c r="T54" s="107">
        <f t="shared" si="63"/>
        <v>0</v>
      </c>
      <c r="U54" s="107">
        <f t="shared" si="63"/>
        <v>0</v>
      </c>
      <c r="V54" s="107">
        <f t="shared" si="63"/>
        <v>0</v>
      </c>
      <c r="W54" s="107">
        <f t="shared" si="63"/>
        <v>0</v>
      </c>
      <c r="X54" s="107">
        <f t="shared" si="63"/>
        <v>0</v>
      </c>
      <c r="Y54" s="107">
        <f t="shared" si="63"/>
        <v>0</v>
      </c>
      <c r="Z54" s="107">
        <f t="shared" si="63"/>
        <v>0</v>
      </c>
      <c r="AA54" s="107">
        <f t="shared" si="63"/>
        <v>0</v>
      </c>
      <c r="AB54" s="107">
        <f t="shared" si="63"/>
        <v>0</v>
      </c>
      <c r="AC54" s="107">
        <f t="shared" si="63"/>
        <v>0</v>
      </c>
      <c r="AD54" s="107">
        <f t="shared" si="63"/>
        <v>0</v>
      </c>
      <c r="AE54" s="107">
        <f t="shared" si="63"/>
        <v>0</v>
      </c>
      <c r="AF54" s="107">
        <f t="shared" si="63"/>
        <v>0</v>
      </c>
      <c r="AG54" s="107">
        <f t="shared" si="63"/>
        <v>0</v>
      </c>
      <c r="AH54" s="107">
        <f t="shared" si="63"/>
        <v>0</v>
      </c>
      <c r="AI54" s="107">
        <f t="shared" si="63"/>
        <v>0</v>
      </c>
      <c r="AJ54" s="107">
        <f t="shared" si="63"/>
        <v>0</v>
      </c>
      <c r="AK54" s="107">
        <f t="shared" si="63"/>
        <v>0</v>
      </c>
    </row>
    <row r="55" spans="2:37">
      <c r="B55" s="102" t="s">
        <v>622</v>
      </c>
      <c r="H55" s="107">
        <f t="shared" ref="H55:AK55" si="64">H$33*$R20</f>
        <v>0</v>
      </c>
      <c r="I55" s="107">
        <f t="shared" si="64"/>
        <v>0</v>
      </c>
      <c r="J55" s="107">
        <f t="shared" si="64"/>
        <v>0</v>
      </c>
      <c r="K55" s="107">
        <f t="shared" si="64"/>
        <v>0</v>
      </c>
      <c r="L55" s="107">
        <f t="shared" si="64"/>
        <v>0</v>
      </c>
      <c r="M55" s="107">
        <f t="shared" si="64"/>
        <v>0</v>
      </c>
      <c r="N55" s="107">
        <f t="shared" si="64"/>
        <v>0</v>
      </c>
      <c r="O55" s="107">
        <f t="shared" si="64"/>
        <v>0</v>
      </c>
      <c r="P55" s="107">
        <f t="shared" si="64"/>
        <v>0</v>
      </c>
      <c r="Q55" s="107">
        <f t="shared" si="64"/>
        <v>0</v>
      </c>
      <c r="R55" s="107">
        <f t="shared" si="64"/>
        <v>0</v>
      </c>
      <c r="S55" s="107">
        <f t="shared" si="64"/>
        <v>0</v>
      </c>
      <c r="T55" s="107">
        <f t="shared" si="64"/>
        <v>0</v>
      </c>
      <c r="U55" s="107">
        <f t="shared" si="64"/>
        <v>0</v>
      </c>
      <c r="V55" s="107">
        <f t="shared" si="64"/>
        <v>0</v>
      </c>
      <c r="W55" s="107">
        <f t="shared" si="64"/>
        <v>0</v>
      </c>
      <c r="X55" s="107">
        <f t="shared" si="64"/>
        <v>0</v>
      </c>
      <c r="Y55" s="107">
        <f t="shared" si="64"/>
        <v>0</v>
      </c>
      <c r="Z55" s="107">
        <f t="shared" si="64"/>
        <v>0</v>
      </c>
      <c r="AA55" s="107">
        <f t="shared" si="64"/>
        <v>0</v>
      </c>
      <c r="AB55" s="107">
        <f t="shared" si="64"/>
        <v>0</v>
      </c>
      <c r="AC55" s="107">
        <f t="shared" si="64"/>
        <v>0</v>
      </c>
      <c r="AD55" s="107">
        <f t="shared" si="64"/>
        <v>0</v>
      </c>
      <c r="AE55" s="107">
        <f t="shared" si="64"/>
        <v>0</v>
      </c>
      <c r="AF55" s="107">
        <f t="shared" si="64"/>
        <v>0</v>
      </c>
      <c r="AG55" s="107">
        <f t="shared" si="64"/>
        <v>0</v>
      </c>
      <c r="AH55" s="107">
        <f t="shared" si="64"/>
        <v>0</v>
      </c>
      <c r="AI55" s="107">
        <f t="shared" si="64"/>
        <v>0</v>
      </c>
      <c r="AJ55" s="107">
        <f t="shared" si="64"/>
        <v>0</v>
      </c>
      <c r="AK55" s="107">
        <f t="shared" si="64"/>
        <v>0</v>
      </c>
    </row>
    <row r="56" spans="2:37">
      <c r="B56" s="111" t="s">
        <v>623</v>
      </c>
      <c r="C56" s="111"/>
      <c r="D56" s="111"/>
      <c r="E56" s="111"/>
      <c r="F56" s="111"/>
      <c r="G56" s="111"/>
      <c r="H56" s="112">
        <f>SUM(H50:H55)</f>
        <v>0</v>
      </c>
      <c r="I56" s="112">
        <f t="shared" ref="I56:R56" si="65">SUM(I50:I55)</f>
        <v>0</v>
      </c>
      <c r="J56" s="112">
        <f t="shared" si="65"/>
        <v>0</v>
      </c>
      <c r="K56" s="112">
        <f t="shared" si="65"/>
        <v>0</v>
      </c>
      <c r="L56" s="112">
        <f t="shared" si="65"/>
        <v>0</v>
      </c>
      <c r="M56" s="112">
        <f t="shared" si="65"/>
        <v>0</v>
      </c>
      <c r="N56" s="112">
        <f t="shared" si="65"/>
        <v>0</v>
      </c>
      <c r="O56" s="112">
        <f t="shared" si="65"/>
        <v>0</v>
      </c>
      <c r="P56" s="112">
        <f t="shared" si="65"/>
        <v>0</v>
      </c>
      <c r="Q56" s="112">
        <f t="shared" si="65"/>
        <v>0</v>
      </c>
      <c r="R56" s="112">
        <f t="shared" si="65"/>
        <v>0</v>
      </c>
      <c r="S56" s="112">
        <f t="shared" ref="S56:AK56" si="66">SUM(S50:S55)</f>
        <v>0</v>
      </c>
      <c r="T56" s="112">
        <f t="shared" si="66"/>
        <v>0</v>
      </c>
      <c r="U56" s="112">
        <f t="shared" si="66"/>
        <v>0</v>
      </c>
      <c r="V56" s="112">
        <f t="shared" si="66"/>
        <v>0</v>
      </c>
      <c r="W56" s="112">
        <f t="shared" si="66"/>
        <v>0</v>
      </c>
      <c r="X56" s="112">
        <f t="shared" si="66"/>
        <v>0</v>
      </c>
      <c r="Y56" s="112">
        <f t="shared" si="66"/>
        <v>0</v>
      </c>
      <c r="Z56" s="112">
        <f t="shared" si="66"/>
        <v>0</v>
      </c>
      <c r="AA56" s="112">
        <f t="shared" si="66"/>
        <v>0</v>
      </c>
      <c r="AB56" s="112">
        <f t="shared" si="66"/>
        <v>0</v>
      </c>
      <c r="AC56" s="112">
        <f t="shared" si="66"/>
        <v>0</v>
      </c>
      <c r="AD56" s="112">
        <f t="shared" si="66"/>
        <v>0</v>
      </c>
      <c r="AE56" s="112">
        <f t="shared" si="66"/>
        <v>0</v>
      </c>
      <c r="AF56" s="112">
        <f t="shared" si="66"/>
        <v>0</v>
      </c>
      <c r="AG56" s="112">
        <f t="shared" si="66"/>
        <v>0</v>
      </c>
      <c r="AH56" s="112">
        <f t="shared" si="66"/>
        <v>0</v>
      </c>
      <c r="AI56" s="112">
        <f t="shared" si="66"/>
        <v>0</v>
      </c>
      <c r="AJ56" s="112">
        <f t="shared" si="66"/>
        <v>0</v>
      </c>
      <c r="AK56" s="112">
        <f t="shared" si="66"/>
        <v>0</v>
      </c>
    </row>
    <row r="57" spans="2:37">
      <c r="B57" s="160"/>
    </row>
    <row r="58" spans="2:37">
      <c r="B58" s="102" t="s">
        <v>524</v>
      </c>
      <c r="H58" s="107">
        <f>H42-H47-H56</f>
        <v>0</v>
      </c>
      <c r="I58" s="107">
        <f t="shared" ref="I58:R58" si="67">I42-I47-I56</f>
        <v>0</v>
      </c>
      <c r="J58" s="107">
        <f t="shared" si="67"/>
        <v>0</v>
      </c>
      <c r="K58" s="107">
        <f t="shared" si="67"/>
        <v>0</v>
      </c>
      <c r="L58" s="107">
        <f t="shared" si="67"/>
        <v>0</v>
      </c>
      <c r="M58" s="107">
        <f t="shared" si="67"/>
        <v>0</v>
      </c>
      <c r="N58" s="107">
        <f t="shared" si="67"/>
        <v>0</v>
      </c>
      <c r="O58" s="107">
        <f t="shared" si="67"/>
        <v>0</v>
      </c>
      <c r="P58" s="107">
        <f t="shared" si="67"/>
        <v>0</v>
      </c>
      <c r="Q58" s="107">
        <f t="shared" si="67"/>
        <v>0</v>
      </c>
      <c r="R58" s="107">
        <f t="shared" si="67"/>
        <v>0</v>
      </c>
      <c r="S58" s="107">
        <f t="shared" ref="S58:AK58" si="68">S42-S47-S56</f>
        <v>0</v>
      </c>
      <c r="T58" s="107">
        <f t="shared" si="68"/>
        <v>0</v>
      </c>
      <c r="U58" s="107">
        <f t="shared" si="68"/>
        <v>0</v>
      </c>
      <c r="V58" s="107">
        <f t="shared" si="68"/>
        <v>0</v>
      </c>
      <c r="W58" s="107">
        <f t="shared" si="68"/>
        <v>0</v>
      </c>
      <c r="X58" s="107">
        <f t="shared" si="68"/>
        <v>0</v>
      </c>
      <c r="Y58" s="107">
        <f t="shared" si="68"/>
        <v>0</v>
      </c>
      <c r="Z58" s="107">
        <f t="shared" si="68"/>
        <v>0</v>
      </c>
      <c r="AA58" s="107">
        <f t="shared" si="68"/>
        <v>0</v>
      </c>
      <c r="AB58" s="107">
        <f t="shared" si="68"/>
        <v>0</v>
      </c>
      <c r="AC58" s="107">
        <f t="shared" si="68"/>
        <v>0</v>
      </c>
      <c r="AD58" s="107">
        <f t="shared" si="68"/>
        <v>0</v>
      </c>
      <c r="AE58" s="107">
        <f t="shared" si="68"/>
        <v>0</v>
      </c>
      <c r="AF58" s="107">
        <f t="shared" si="68"/>
        <v>0</v>
      </c>
      <c r="AG58" s="107">
        <f t="shared" si="68"/>
        <v>0</v>
      </c>
      <c r="AH58" s="107">
        <f t="shared" si="68"/>
        <v>0</v>
      </c>
      <c r="AI58" s="107">
        <f t="shared" si="68"/>
        <v>0</v>
      </c>
      <c r="AJ58" s="107">
        <f t="shared" si="68"/>
        <v>0</v>
      </c>
      <c r="AK58" s="107">
        <f t="shared" si="68"/>
        <v>0</v>
      </c>
    </row>
    <row r="61" spans="2:37">
      <c r="B61" s="102" t="s">
        <v>6</v>
      </c>
      <c r="G61" s="107">
        <f t="shared" ref="G61:R61" ca="1" si="69">IF(G29&lt;=$G$18+1,G30+G58,0)</f>
        <v>0</v>
      </c>
      <c r="H61" s="107">
        <f t="shared" si="69"/>
        <v>0</v>
      </c>
      <c r="I61" s="107">
        <f t="shared" si="69"/>
        <v>0</v>
      </c>
      <c r="J61" s="107">
        <f t="shared" si="69"/>
        <v>0</v>
      </c>
      <c r="K61" s="107">
        <f t="shared" si="69"/>
        <v>0</v>
      </c>
      <c r="L61" s="107">
        <f t="shared" si="69"/>
        <v>0</v>
      </c>
      <c r="M61" s="107">
        <f t="shared" si="69"/>
        <v>0</v>
      </c>
      <c r="N61" s="107">
        <f t="shared" si="69"/>
        <v>0</v>
      </c>
      <c r="O61" s="107">
        <f t="shared" si="69"/>
        <v>0</v>
      </c>
      <c r="P61" s="107">
        <f t="shared" si="69"/>
        <v>0</v>
      </c>
      <c r="Q61" s="107">
        <f t="shared" si="69"/>
        <v>0</v>
      </c>
      <c r="R61" s="107">
        <f t="shared" si="69"/>
        <v>0</v>
      </c>
      <c r="S61" s="107">
        <f t="shared" ref="S61:AK61" si="70">IF(S29&lt;=$G$18+1,S30+S58,0)</f>
        <v>0</v>
      </c>
      <c r="T61" s="107">
        <f t="shared" si="70"/>
        <v>0</v>
      </c>
      <c r="U61" s="107">
        <f t="shared" si="70"/>
        <v>0</v>
      </c>
      <c r="V61" s="107">
        <f t="shared" si="70"/>
        <v>0</v>
      </c>
      <c r="W61" s="107">
        <f t="shared" si="70"/>
        <v>0</v>
      </c>
      <c r="X61" s="107">
        <f t="shared" si="70"/>
        <v>0</v>
      </c>
      <c r="Y61" s="107">
        <f t="shared" si="70"/>
        <v>0</v>
      </c>
      <c r="Z61" s="107">
        <f t="shared" si="70"/>
        <v>0</v>
      </c>
      <c r="AA61" s="107">
        <f t="shared" si="70"/>
        <v>0</v>
      </c>
      <c r="AB61" s="107">
        <f t="shared" si="70"/>
        <v>0</v>
      </c>
      <c r="AC61" s="107">
        <f t="shared" si="70"/>
        <v>0</v>
      </c>
      <c r="AD61" s="107">
        <f t="shared" si="70"/>
        <v>0</v>
      </c>
      <c r="AE61" s="107">
        <f t="shared" si="70"/>
        <v>0</v>
      </c>
      <c r="AF61" s="107">
        <f t="shared" si="70"/>
        <v>0</v>
      </c>
      <c r="AG61" s="107">
        <f t="shared" si="70"/>
        <v>0</v>
      </c>
      <c r="AH61" s="107">
        <f t="shared" si="70"/>
        <v>0</v>
      </c>
      <c r="AI61" s="107">
        <f t="shared" si="70"/>
        <v>0</v>
      </c>
      <c r="AJ61" s="107">
        <f t="shared" si="70"/>
        <v>0</v>
      </c>
      <c r="AK61" s="107">
        <f t="shared" si="70"/>
        <v>0</v>
      </c>
    </row>
    <row r="62" spans="2:37"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</row>
    <row r="63" spans="2:37">
      <c r="B63" s="102" t="s">
        <v>525</v>
      </c>
      <c r="H63" s="107">
        <f t="shared" ref="H63:R63" si="71">IF(H29=$G$18,I61/$G$17,0)</f>
        <v>0</v>
      </c>
      <c r="I63" s="107">
        <f t="shared" si="71"/>
        <v>0</v>
      </c>
      <c r="J63" s="107">
        <f t="shared" si="71"/>
        <v>0</v>
      </c>
      <c r="K63" s="107">
        <f t="shared" si="71"/>
        <v>0</v>
      </c>
      <c r="L63" s="107">
        <f t="shared" si="71"/>
        <v>0</v>
      </c>
      <c r="M63" s="107">
        <f t="shared" si="71"/>
        <v>0</v>
      </c>
      <c r="N63" s="107">
        <f t="shared" si="71"/>
        <v>0</v>
      </c>
      <c r="O63" s="107">
        <f t="shared" si="71"/>
        <v>0</v>
      </c>
      <c r="P63" s="107">
        <f t="shared" si="71"/>
        <v>0</v>
      </c>
      <c r="Q63" s="107">
        <f t="shared" si="71"/>
        <v>0</v>
      </c>
      <c r="R63" s="107">
        <f t="shared" si="71"/>
        <v>0</v>
      </c>
      <c r="S63" s="107">
        <f t="shared" ref="S63:AK63" si="72">IF(S29=$G$18,T61/$G$17,0)</f>
        <v>0</v>
      </c>
      <c r="T63" s="107">
        <f t="shared" si="72"/>
        <v>0</v>
      </c>
      <c r="U63" s="107">
        <f t="shared" si="72"/>
        <v>0</v>
      </c>
      <c r="V63" s="107">
        <f t="shared" si="72"/>
        <v>0</v>
      </c>
      <c r="W63" s="107">
        <f t="shared" si="72"/>
        <v>0</v>
      </c>
      <c r="X63" s="107">
        <f t="shared" si="72"/>
        <v>0</v>
      </c>
      <c r="Y63" s="107">
        <f t="shared" si="72"/>
        <v>0</v>
      </c>
      <c r="Z63" s="107">
        <f t="shared" si="72"/>
        <v>0</v>
      </c>
      <c r="AA63" s="107">
        <f t="shared" si="72"/>
        <v>0</v>
      </c>
      <c r="AB63" s="107">
        <f t="shared" si="72"/>
        <v>0</v>
      </c>
      <c r="AC63" s="107">
        <f t="shared" si="72"/>
        <v>0</v>
      </c>
      <c r="AD63" s="107">
        <f t="shared" si="72"/>
        <v>0</v>
      </c>
      <c r="AE63" s="107">
        <f t="shared" si="72"/>
        <v>0</v>
      </c>
      <c r="AF63" s="107">
        <f t="shared" si="72"/>
        <v>0</v>
      </c>
      <c r="AG63" s="107">
        <f t="shared" si="72"/>
        <v>0</v>
      </c>
      <c r="AH63" s="107">
        <f t="shared" si="72"/>
        <v>0</v>
      </c>
      <c r="AI63" s="107">
        <f t="shared" si="72"/>
        <v>0</v>
      </c>
      <c r="AJ63" s="107">
        <f t="shared" si="72"/>
        <v>0</v>
      </c>
      <c r="AK63" s="107">
        <f t="shared" si="72"/>
        <v>0</v>
      </c>
    </row>
    <row r="64" spans="2:37">
      <c r="B64" s="102" t="s">
        <v>393</v>
      </c>
      <c r="H64" s="107">
        <f t="shared" ref="H64:R64" si="73">-H63*$G$19</f>
        <v>0</v>
      </c>
      <c r="I64" s="107">
        <f t="shared" si="73"/>
        <v>0</v>
      </c>
      <c r="J64" s="107">
        <f t="shared" si="73"/>
        <v>0</v>
      </c>
      <c r="K64" s="107">
        <f t="shared" si="73"/>
        <v>0</v>
      </c>
      <c r="L64" s="107">
        <f t="shared" si="73"/>
        <v>0</v>
      </c>
      <c r="M64" s="107">
        <f t="shared" si="73"/>
        <v>0</v>
      </c>
      <c r="N64" s="107">
        <f t="shared" si="73"/>
        <v>0</v>
      </c>
      <c r="O64" s="107">
        <f t="shared" si="73"/>
        <v>0</v>
      </c>
      <c r="P64" s="107">
        <f t="shared" si="73"/>
        <v>0</v>
      </c>
      <c r="Q64" s="107">
        <f t="shared" si="73"/>
        <v>0</v>
      </c>
      <c r="R64" s="107">
        <f t="shared" si="73"/>
        <v>0</v>
      </c>
      <c r="S64" s="107">
        <f t="shared" ref="S64" si="74">-S63*$G$19</f>
        <v>0</v>
      </c>
      <c r="T64" s="107">
        <f t="shared" ref="T64" si="75">-T63*$G$19</f>
        <v>0</v>
      </c>
      <c r="U64" s="107">
        <f t="shared" ref="U64" si="76">-U63*$G$19</f>
        <v>0</v>
      </c>
      <c r="V64" s="107">
        <f t="shared" ref="V64" si="77">-V63*$G$19</f>
        <v>0</v>
      </c>
      <c r="W64" s="107">
        <f t="shared" ref="W64" si="78">-W63*$G$19</f>
        <v>0</v>
      </c>
      <c r="X64" s="107">
        <f t="shared" ref="X64" si="79">-X63*$G$19</f>
        <v>0</v>
      </c>
      <c r="Y64" s="107">
        <f t="shared" ref="Y64" si="80">-Y63*$G$19</f>
        <v>0</v>
      </c>
      <c r="Z64" s="107">
        <f t="shared" ref="Z64" si="81">-Z63*$G$19</f>
        <v>0</v>
      </c>
      <c r="AA64" s="107">
        <f t="shared" ref="AA64" si="82">-AA63*$G$19</f>
        <v>0</v>
      </c>
      <c r="AB64" s="107">
        <f t="shared" ref="AB64" si="83">-AB63*$G$19</f>
        <v>0</v>
      </c>
      <c r="AC64" s="107">
        <f t="shared" ref="AC64" si="84">-AC63*$G$19</f>
        <v>0</v>
      </c>
      <c r="AD64" s="107">
        <f t="shared" ref="AD64" si="85">-AD63*$G$19</f>
        <v>0</v>
      </c>
      <c r="AE64" s="107">
        <f t="shared" ref="AE64" si="86">-AE63*$G$19</f>
        <v>0</v>
      </c>
      <c r="AF64" s="107">
        <f t="shared" ref="AF64" si="87">-AF63*$G$19</f>
        <v>0</v>
      </c>
      <c r="AG64" s="107">
        <f t="shared" ref="AG64" si="88">-AG63*$G$19</f>
        <v>0</v>
      </c>
      <c r="AH64" s="107">
        <f t="shared" ref="AH64" si="89">-AH63*$G$19</f>
        <v>0</v>
      </c>
      <c r="AI64" s="107">
        <f t="shared" ref="AI64" si="90">-AI63*$G$19</f>
        <v>0</v>
      </c>
      <c r="AJ64" s="107">
        <f t="shared" ref="AJ64" si="91">-AJ63*$G$19</f>
        <v>0</v>
      </c>
      <c r="AK64" s="107">
        <f t="shared" ref="AK64" si="92">-AK63*$G$19</f>
        <v>0</v>
      </c>
    </row>
    <row r="65" spans="2:37">
      <c r="B65" s="111" t="s">
        <v>526</v>
      </c>
      <c r="C65" s="111"/>
      <c r="D65" s="111"/>
      <c r="E65" s="111"/>
      <c r="F65" s="111"/>
      <c r="G65" s="112">
        <f ca="1">SUM(G61:G64)</f>
        <v>0</v>
      </c>
      <c r="H65" s="112">
        <f t="shared" ref="H65:R65" si="93">SUM(H61:H64)</f>
        <v>0</v>
      </c>
      <c r="I65" s="112">
        <f t="shared" si="93"/>
        <v>0</v>
      </c>
      <c r="J65" s="112">
        <f t="shared" si="93"/>
        <v>0</v>
      </c>
      <c r="K65" s="112">
        <f t="shared" si="93"/>
        <v>0</v>
      </c>
      <c r="L65" s="112">
        <f t="shared" si="93"/>
        <v>0</v>
      </c>
      <c r="M65" s="112">
        <f t="shared" si="93"/>
        <v>0</v>
      </c>
      <c r="N65" s="112">
        <f t="shared" si="93"/>
        <v>0</v>
      </c>
      <c r="O65" s="112">
        <f t="shared" si="93"/>
        <v>0</v>
      </c>
      <c r="P65" s="112">
        <f t="shared" si="93"/>
        <v>0</v>
      </c>
      <c r="Q65" s="112">
        <f t="shared" si="93"/>
        <v>0</v>
      </c>
      <c r="R65" s="112">
        <f t="shared" si="93"/>
        <v>0</v>
      </c>
      <c r="S65" s="112">
        <f t="shared" ref="S65:AK65" si="94">SUM(S61:S64)</f>
        <v>0</v>
      </c>
      <c r="T65" s="112">
        <f t="shared" si="94"/>
        <v>0</v>
      </c>
      <c r="U65" s="112">
        <f t="shared" si="94"/>
        <v>0</v>
      </c>
      <c r="V65" s="112">
        <f t="shared" si="94"/>
        <v>0</v>
      </c>
      <c r="W65" s="112">
        <f t="shared" si="94"/>
        <v>0</v>
      </c>
      <c r="X65" s="112">
        <f t="shared" si="94"/>
        <v>0</v>
      </c>
      <c r="Y65" s="112">
        <f t="shared" si="94"/>
        <v>0</v>
      </c>
      <c r="Z65" s="112">
        <f t="shared" si="94"/>
        <v>0</v>
      </c>
      <c r="AA65" s="112">
        <f t="shared" si="94"/>
        <v>0</v>
      </c>
      <c r="AB65" s="112">
        <f t="shared" si="94"/>
        <v>0</v>
      </c>
      <c r="AC65" s="112">
        <f t="shared" si="94"/>
        <v>0</v>
      </c>
      <c r="AD65" s="112">
        <f t="shared" si="94"/>
        <v>0</v>
      </c>
      <c r="AE65" s="112">
        <f t="shared" si="94"/>
        <v>0</v>
      </c>
      <c r="AF65" s="112">
        <f t="shared" si="94"/>
        <v>0</v>
      </c>
      <c r="AG65" s="112">
        <f t="shared" si="94"/>
        <v>0</v>
      </c>
      <c r="AH65" s="112">
        <f t="shared" si="94"/>
        <v>0</v>
      </c>
      <c r="AI65" s="112">
        <f t="shared" si="94"/>
        <v>0</v>
      </c>
      <c r="AJ65" s="112">
        <f t="shared" si="94"/>
        <v>0</v>
      </c>
      <c r="AK65" s="112">
        <f t="shared" si="94"/>
        <v>0</v>
      </c>
    </row>
    <row r="66" spans="2:37" ht="15" thickBot="1"/>
    <row r="67" spans="2:37">
      <c r="B67" s="122" t="s">
        <v>527</v>
      </c>
      <c r="C67" s="123"/>
      <c r="D67" s="123"/>
      <c r="E67" s="123"/>
      <c r="F67" s="123"/>
      <c r="G67" s="124">
        <f ca="1">SUM(G65:R65)</f>
        <v>0</v>
      </c>
    </row>
    <row r="68" spans="2:37">
      <c r="B68" s="125" t="s">
        <v>528</v>
      </c>
      <c r="G68" s="126">
        <f>NPV($L$15,H65:R65)</f>
        <v>0</v>
      </c>
    </row>
    <row r="69" spans="2:37">
      <c r="B69" s="125" t="s">
        <v>529</v>
      </c>
      <c r="G69" s="126">
        <f ca="1">G68+G65</f>
        <v>0</v>
      </c>
    </row>
    <row r="70" spans="2:37">
      <c r="B70" s="125" t="s">
        <v>530</v>
      </c>
      <c r="G70" s="127" t="e">
        <f ca="1">IRR(G65:R65)</f>
        <v>#NUM!</v>
      </c>
    </row>
    <row r="71" spans="2:37" ht="15" thickBot="1">
      <c r="B71" s="128" t="s">
        <v>531</v>
      </c>
      <c r="C71" s="129"/>
      <c r="D71" s="129"/>
      <c r="E71" s="129"/>
      <c r="F71" s="129"/>
      <c r="G71" s="130" t="e">
        <f ca="1">(G67/-G65)+1</f>
        <v>#DIV/0!</v>
      </c>
    </row>
    <row r="73" spans="2:37">
      <c r="B73" s="102" t="s">
        <v>532</v>
      </c>
      <c r="G73" s="107">
        <f ca="1">G26</f>
        <v>0</v>
      </c>
    </row>
    <row r="74" spans="2:37">
      <c r="B74" s="102" t="s">
        <v>533</v>
      </c>
      <c r="H74" s="107">
        <f t="shared" ref="H74:R74" si="95">IF(H29=$G$18,FV($G$24/12,H29*12,$G$27,$G$26),0)</f>
        <v>0</v>
      </c>
      <c r="I74" s="107">
        <f t="shared" si="95"/>
        <v>0</v>
      </c>
      <c r="J74" s="107">
        <f t="shared" si="95"/>
        <v>0</v>
      </c>
      <c r="K74" s="107">
        <f t="shared" si="95"/>
        <v>0</v>
      </c>
      <c r="L74" s="107">
        <f t="shared" si="95"/>
        <v>0</v>
      </c>
      <c r="M74" s="107">
        <f t="shared" si="95"/>
        <v>0</v>
      </c>
      <c r="N74" s="107">
        <f t="shared" si="95"/>
        <v>0</v>
      </c>
      <c r="O74" s="107">
        <f t="shared" si="95"/>
        <v>0</v>
      </c>
      <c r="P74" s="107">
        <f t="shared" si="95"/>
        <v>0</v>
      </c>
      <c r="Q74" s="107">
        <f t="shared" ca="1" si="95"/>
        <v>0</v>
      </c>
      <c r="R74" s="107">
        <f t="shared" si="95"/>
        <v>0</v>
      </c>
      <c r="S74" s="107">
        <f t="shared" ref="S74:AK74" si="96">IF(S29=$G$18,FV($G$24/12,S29*12,$G$27,$G$26),0)</f>
        <v>0</v>
      </c>
      <c r="T74" s="107">
        <f t="shared" si="96"/>
        <v>0</v>
      </c>
      <c r="U74" s="107">
        <f t="shared" si="96"/>
        <v>0</v>
      </c>
      <c r="V74" s="107">
        <f t="shared" si="96"/>
        <v>0</v>
      </c>
      <c r="W74" s="107">
        <f t="shared" si="96"/>
        <v>0</v>
      </c>
      <c r="X74" s="107">
        <f t="shared" si="96"/>
        <v>0</v>
      </c>
      <c r="Y74" s="107">
        <f t="shared" si="96"/>
        <v>0</v>
      </c>
      <c r="Z74" s="107">
        <f t="shared" si="96"/>
        <v>0</v>
      </c>
      <c r="AA74" s="107">
        <f t="shared" si="96"/>
        <v>0</v>
      </c>
      <c r="AB74" s="107">
        <f t="shared" si="96"/>
        <v>0</v>
      </c>
      <c r="AC74" s="107">
        <f t="shared" si="96"/>
        <v>0</v>
      </c>
      <c r="AD74" s="107">
        <f t="shared" si="96"/>
        <v>0</v>
      </c>
      <c r="AE74" s="107">
        <f t="shared" si="96"/>
        <v>0</v>
      </c>
      <c r="AF74" s="107">
        <f t="shared" si="96"/>
        <v>0</v>
      </c>
      <c r="AG74" s="107">
        <f t="shared" si="96"/>
        <v>0</v>
      </c>
      <c r="AH74" s="107">
        <f t="shared" si="96"/>
        <v>0</v>
      </c>
      <c r="AI74" s="107">
        <f t="shared" si="96"/>
        <v>0</v>
      </c>
      <c r="AJ74" s="107">
        <f t="shared" si="96"/>
        <v>0</v>
      </c>
      <c r="AK74" s="107">
        <f t="shared" si="96"/>
        <v>0</v>
      </c>
    </row>
    <row r="75" spans="2:37">
      <c r="B75" s="102" t="s">
        <v>534</v>
      </c>
      <c r="H75" s="107">
        <f t="shared" ref="H75:R75" ca="1" si="97">IF(H29&lt;=$G$18,$G$27*12,0)</f>
        <v>0</v>
      </c>
      <c r="I75" s="107">
        <f t="shared" ca="1" si="97"/>
        <v>0</v>
      </c>
      <c r="J75" s="107">
        <f t="shared" ca="1" si="97"/>
        <v>0</v>
      </c>
      <c r="K75" s="107">
        <f t="shared" ca="1" si="97"/>
        <v>0</v>
      </c>
      <c r="L75" s="107">
        <f t="shared" ca="1" si="97"/>
        <v>0</v>
      </c>
      <c r="M75" s="107">
        <f t="shared" ca="1" si="97"/>
        <v>0</v>
      </c>
      <c r="N75" s="107">
        <f t="shared" ca="1" si="97"/>
        <v>0</v>
      </c>
      <c r="O75" s="107">
        <f t="shared" ca="1" si="97"/>
        <v>0</v>
      </c>
      <c r="P75" s="107">
        <f t="shared" ca="1" si="97"/>
        <v>0</v>
      </c>
      <c r="Q75" s="107">
        <f t="shared" ca="1" si="97"/>
        <v>0</v>
      </c>
      <c r="R75" s="107">
        <f t="shared" si="97"/>
        <v>0</v>
      </c>
      <c r="S75" s="107">
        <f t="shared" ref="S75:AK75" si="98">IF(S29&lt;=$G$18,$G$27*12,0)</f>
        <v>0</v>
      </c>
      <c r="T75" s="107">
        <f t="shared" si="98"/>
        <v>0</v>
      </c>
      <c r="U75" s="107">
        <f t="shared" si="98"/>
        <v>0</v>
      </c>
      <c r="V75" s="107">
        <f t="shared" si="98"/>
        <v>0</v>
      </c>
      <c r="W75" s="107">
        <f t="shared" si="98"/>
        <v>0</v>
      </c>
      <c r="X75" s="107">
        <f t="shared" si="98"/>
        <v>0</v>
      </c>
      <c r="Y75" s="107">
        <f t="shared" si="98"/>
        <v>0</v>
      </c>
      <c r="Z75" s="107">
        <f t="shared" si="98"/>
        <v>0</v>
      </c>
      <c r="AA75" s="107">
        <f t="shared" si="98"/>
        <v>0</v>
      </c>
      <c r="AB75" s="107">
        <f t="shared" si="98"/>
        <v>0</v>
      </c>
      <c r="AC75" s="107">
        <f t="shared" si="98"/>
        <v>0</v>
      </c>
      <c r="AD75" s="107">
        <f t="shared" si="98"/>
        <v>0</v>
      </c>
      <c r="AE75" s="107">
        <f t="shared" si="98"/>
        <v>0</v>
      </c>
      <c r="AF75" s="107">
        <f t="shared" si="98"/>
        <v>0</v>
      </c>
      <c r="AG75" s="107">
        <f t="shared" si="98"/>
        <v>0</v>
      </c>
      <c r="AH75" s="107">
        <f t="shared" si="98"/>
        <v>0</v>
      </c>
      <c r="AI75" s="107">
        <f t="shared" si="98"/>
        <v>0</v>
      </c>
      <c r="AJ75" s="107">
        <f t="shared" si="98"/>
        <v>0</v>
      </c>
      <c r="AK75" s="107">
        <f t="shared" si="98"/>
        <v>0</v>
      </c>
    </row>
    <row r="77" spans="2:37">
      <c r="B77" s="102" t="s">
        <v>535</v>
      </c>
      <c r="G77" s="107">
        <f t="shared" ref="G77:R77" ca="1" si="99">IF(G29&lt;=$G$18,SUM(G65,G73:G75),0)</f>
        <v>0</v>
      </c>
      <c r="H77" s="107">
        <f t="shared" ca="1" si="99"/>
        <v>0</v>
      </c>
      <c r="I77" s="107">
        <f t="shared" ca="1" si="99"/>
        <v>0</v>
      </c>
      <c r="J77" s="107">
        <f t="shared" ca="1" si="99"/>
        <v>0</v>
      </c>
      <c r="K77" s="107">
        <f t="shared" ca="1" si="99"/>
        <v>0</v>
      </c>
      <c r="L77" s="107">
        <f t="shared" ca="1" si="99"/>
        <v>0</v>
      </c>
      <c r="M77" s="107">
        <f t="shared" ca="1" si="99"/>
        <v>0</v>
      </c>
      <c r="N77" s="107">
        <f t="shared" ca="1" si="99"/>
        <v>0</v>
      </c>
      <c r="O77" s="107">
        <f t="shared" ca="1" si="99"/>
        <v>0</v>
      </c>
      <c r="P77" s="107">
        <f t="shared" ca="1" si="99"/>
        <v>0</v>
      </c>
      <c r="Q77" s="107">
        <f t="shared" ca="1" si="99"/>
        <v>0</v>
      </c>
      <c r="R77" s="107">
        <f t="shared" si="99"/>
        <v>0</v>
      </c>
      <c r="S77" s="107">
        <f t="shared" ref="S77:AK77" si="100">IF(S29&lt;=$G$18,SUM(S65,S73:S75),0)</f>
        <v>0</v>
      </c>
      <c r="T77" s="107">
        <f t="shared" si="100"/>
        <v>0</v>
      </c>
      <c r="U77" s="107">
        <f t="shared" si="100"/>
        <v>0</v>
      </c>
      <c r="V77" s="107">
        <f t="shared" si="100"/>
        <v>0</v>
      </c>
      <c r="W77" s="107">
        <f t="shared" si="100"/>
        <v>0</v>
      </c>
      <c r="X77" s="107">
        <f t="shared" si="100"/>
        <v>0</v>
      </c>
      <c r="Y77" s="107">
        <f t="shared" si="100"/>
        <v>0</v>
      </c>
      <c r="Z77" s="107">
        <f t="shared" si="100"/>
        <v>0</v>
      </c>
      <c r="AA77" s="107">
        <f t="shared" si="100"/>
        <v>0</v>
      </c>
      <c r="AB77" s="107">
        <f t="shared" si="100"/>
        <v>0</v>
      </c>
      <c r="AC77" s="107">
        <f t="shared" si="100"/>
        <v>0</v>
      </c>
      <c r="AD77" s="107">
        <f t="shared" si="100"/>
        <v>0</v>
      </c>
      <c r="AE77" s="107">
        <f t="shared" si="100"/>
        <v>0</v>
      </c>
      <c r="AF77" s="107">
        <f t="shared" si="100"/>
        <v>0</v>
      </c>
      <c r="AG77" s="107">
        <f t="shared" si="100"/>
        <v>0</v>
      </c>
      <c r="AH77" s="107">
        <f t="shared" si="100"/>
        <v>0</v>
      </c>
      <c r="AI77" s="107">
        <f t="shared" si="100"/>
        <v>0</v>
      </c>
      <c r="AJ77" s="107">
        <f t="shared" si="100"/>
        <v>0</v>
      </c>
      <c r="AK77" s="107">
        <f t="shared" si="100"/>
        <v>0</v>
      </c>
    </row>
    <row r="78" spans="2:37" ht="15" thickBot="1"/>
    <row r="79" spans="2:37">
      <c r="B79" s="122" t="s">
        <v>527</v>
      </c>
      <c r="C79" s="123"/>
      <c r="D79" s="123"/>
      <c r="E79" s="123"/>
      <c r="F79" s="123"/>
      <c r="G79" s="124">
        <f ca="1">SUM(G77:R77)</f>
        <v>0</v>
      </c>
    </row>
    <row r="80" spans="2:37">
      <c r="B80" s="125" t="s">
        <v>528</v>
      </c>
      <c r="G80" s="126">
        <f ca="1">NPV($L$15,H77:R77)</f>
        <v>0</v>
      </c>
    </row>
    <row r="81" spans="1:37">
      <c r="B81" s="125" t="s">
        <v>529</v>
      </c>
      <c r="G81" s="126">
        <f ca="1">G80+G77</f>
        <v>0</v>
      </c>
    </row>
    <row r="82" spans="1:37">
      <c r="B82" s="125" t="s">
        <v>536</v>
      </c>
      <c r="G82" s="131" t="e">
        <f ca="1">IRR(G77:R77)</f>
        <v>#NUM!</v>
      </c>
    </row>
    <row r="83" spans="1:37" ht="15" thickBot="1">
      <c r="B83" s="128" t="s">
        <v>531</v>
      </c>
      <c r="C83" s="129"/>
      <c r="D83" s="129"/>
      <c r="E83" s="129"/>
      <c r="F83" s="129"/>
      <c r="G83" s="130" t="e">
        <f ca="1">(G79/-G77)+1</f>
        <v>#DIV/0!</v>
      </c>
    </row>
    <row r="85" spans="1:37">
      <c r="A85" s="102" t="s">
        <v>472</v>
      </c>
      <c r="B85" s="104" t="s">
        <v>588</v>
      </c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6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</row>
    <row r="86" spans="1:37">
      <c r="F86" s="103" t="s">
        <v>589</v>
      </c>
      <c r="G86" s="103"/>
      <c r="H86" s="103"/>
      <c r="I86" s="103"/>
      <c r="J86" s="103"/>
      <c r="P86" s="102"/>
    </row>
    <row r="87" spans="1:37">
      <c r="E87" s="133" t="e">
        <f ca="1">G82</f>
        <v>#NUM!</v>
      </c>
      <c r="F87" s="103">
        <v>3</v>
      </c>
      <c r="G87" s="103">
        <v>4</v>
      </c>
      <c r="H87" s="103">
        <v>5</v>
      </c>
      <c r="I87" s="103">
        <v>6</v>
      </c>
      <c r="J87" s="103">
        <v>7</v>
      </c>
      <c r="P87" s="102"/>
    </row>
    <row r="88" spans="1:37">
      <c r="C88" s="768" t="s">
        <v>390</v>
      </c>
      <c r="D88" s="768"/>
      <c r="E88" s="134">
        <v>0.05</v>
      </c>
      <c r="F88" s="135" t="e">
        <f t="dataTable" ref="F88:J92" dt2D="1" dtr="1" r1="G18" r2="G17" ca="1"/>
        <v>#NUM!</v>
      </c>
      <c r="G88" s="136" t="e">
        <v>#NUM!</v>
      </c>
      <c r="H88" s="136" t="e">
        <v>#NUM!</v>
      </c>
      <c r="I88" s="136" t="e">
        <v>#NUM!</v>
      </c>
      <c r="J88" s="137" t="e">
        <v>#NUM!</v>
      </c>
      <c r="P88" s="102"/>
    </row>
    <row r="89" spans="1:37">
      <c r="C89" s="768"/>
      <c r="D89" s="768"/>
      <c r="E89" s="134">
        <v>5.2499999999999998E-2</v>
      </c>
      <c r="F89" s="138" t="e">
        <v>#NUM!</v>
      </c>
      <c r="G89" s="135" t="e">
        <v>#NUM!</v>
      </c>
      <c r="H89" s="136" t="e">
        <v>#NUM!</v>
      </c>
      <c r="I89" s="137" t="e">
        <v>#NUM!</v>
      </c>
      <c r="J89" s="139" t="e">
        <v>#NUM!</v>
      </c>
      <c r="P89" s="102"/>
    </row>
    <row r="90" spans="1:37">
      <c r="C90" s="768"/>
      <c r="D90" s="768"/>
      <c r="E90" s="134">
        <v>5.5E-2</v>
      </c>
      <c r="F90" s="138" t="e">
        <v>#NUM!</v>
      </c>
      <c r="G90" s="138" t="e">
        <v>#NUM!</v>
      </c>
      <c r="H90" s="140" t="e">
        <v>#NUM!</v>
      </c>
      <c r="I90" s="139" t="e">
        <v>#NUM!</v>
      </c>
      <c r="J90" s="139" t="e">
        <v>#NUM!</v>
      </c>
      <c r="K90" s="118"/>
      <c r="P90" s="102"/>
    </row>
    <row r="91" spans="1:37">
      <c r="C91" s="768"/>
      <c r="D91" s="768"/>
      <c r="E91" s="134">
        <v>5.7500000000000002E-2</v>
      </c>
      <c r="F91" s="138" t="e">
        <v>#NUM!</v>
      </c>
      <c r="G91" s="141" t="e">
        <v>#NUM!</v>
      </c>
      <c r="H91" s="142" t="e">
        <v>#NUM!</v>
      </c>
      <c r="I91" s="143" t="e">
        <v>#NUM!</v>
      </c>
      <c r="J91" s="139" t="e">
        <v>#NUM!</v>
      </c>
      <c r="P91" s="102"/>
    </row>
    <row r="92" spans="1:37">
      <c r="C92" s="768"/>
      <c r="D92" s="768"/>
      <c r="E92" s="134">
        <v>0.06</v>
      </c>
      <c r="F92" s="141" t="e">
        <v>#NUM!</v>
      </c>
      <c r="G92" s="142" t="e">
        <v>#NUM!</v>
      </c>
      <c r="H92" s="142" t="e">
        <v>#NUM!</v>
      </c>
      <c r="I92" s="142" t="e">
        <v>#NUM!</v>
      </c>
      <c r="J92" s="143" t="e">
        <v>#NUM!</v>
      </c>
      <c r="P92" s="102"/>
    </row>
  </sheetData>
  <mergeCells count="1">
    <mergeCell ref="C88:D92"/>
  </mergeCells>
  <conditionalFormatting sqref="F88:J9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scale="48" orientation="portrait" r:id="rId1"/>
  <headerFooter>
    <oddHeader xml:space="preserve">&amp;L2019 ULI Hines Student Competition&amp;RTeam &amp;A 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0AB32-38E6-4565-A661-FEDB943F673E}">
  <sheetPr>
    <tabColor rgb="FF002060"/>
  </sheetPr>
  <dimension ref="A2:AK99"/>
  <sheetViews>
    <sheetView showGridLines="0" view="pageBreakPreview" zoomScale="80" zoomScaleNormal="100" zoomScaleSheetLayoutView="80" workbookViewId="0"/>
  </sheetViews>
  <sheetFormatPr defaultRowHeight="14.4"/>
  <cols>
    <col min="1" max="4" width="1.6640625" style="102" customWidth="1"/>
    <col min="5" max="5" width="8.88671875" style="102"/>
    <col min="6" max="6" width="8.88671875" style="102" customWidth="1"/>
    <col min="7" max="7" width="16.33203125" style="102" customWidth="1"/>
    <col min="8" max="8" width="12.5546875" style="102" bestFit="1" customWidth="1"/>
    <col min="9" max="9" width="11.5546875" style="102" bestFit="1" customWidth="1"/>
    <col min="10" max="10" width="13.6640625" style="102" bestFit="1" customWidth="1"/>
    <col min="11" max="12" width="12.5546875" style="102" bestFit="1" customWidth="1"/>
    <col min="13" max="14" width="11.88671875" style="102" bestFit="1" customWidth="1"/>
    <col min="15" max="15" width="12.109375" style="102" bestFit="1" customWidth="1"/>
    <col min="16" max="16" width="13" style="103" customWidth="1"/>
    <col min="17" max="17" width="12.44140625" style="102" bestFit="1" customWidth="1"/>
    <col min="18" max="18" width="13.109375" style="102" bestFit="1" customWidth="1"/>
    <col min="19" max="21" width="8.88671875" style="102"/>
    <col min="22" max="22" width="14.109375" style="102" bestFit="1" customWidth="1"/>
    <col min="23" max="16384" width="8.88671875" style="102"/>
  </cols>
  <sheetData>
    <row r="2" spans="1:19">
      <c r="P2" s="497"/>
    </row>
    <row r="3" spans="1:19">
      <c r="P3" s="497"/>
    </row>
    <row r="4" spans="1:19">
      <c r="P4" s="497"/>
    </row>
    <row r="5" spans="1:19">
      <c r="P5" s="497"/>
    </row>
    <row r="6" spans="1:19">
      <c r="P6" s="497"/>
    </row>
    <row r="7" spans="1:19">
      <c r="P7" s="497"/>
    </row>
    <row r="8" spans="1:19">
      <c r="B8" s="410" t="s">
        <v>762</v>
      </c>
      <c r="P8" s="387"/>
    </row>
    <row r="9" spans="1:19" ht="15.6">
      <c r="B9" s="411" t="s">
        <v>767</v>
      </c>
      <c r="P9" s="387"/>
    </row>
    <row r="11" spans="1:19">
      <c r="A11" s="102" t="s">
        <v>472</v>
      </c>
      <c r="B11" s="104" t="s">
        <v>473</v>
      </c>
      <c r="C11" s="104"/>
      <c r="D11" s="104"/>
      <c r="E11" s="104"/>
      <c r="F11" s="104"/>
      <c r="G11" s="104"/>
      <c r="H11" s="104"/>
      <c r="I11" s="105"/>
      <c r="J11" s="104" t="s">
        <v>555</v>
      </c>
      <c r="K11" s="104"/>
      <c r="L11" s="104"/>
      <c r="M11" s="104"/>
      <c r="N11" s="106" t="s">
        <v>556</v>
      </c>
      <c r="P11" s="104" t="s">
        <v>449</v>
      </c>
      <c r="Q11" s="104"/>
      <c r="R11" s="104"/>
    </row>
    <row r="12" spans="1:19">
      <c r="B12" s="102" t="s">
        <v>557</v>
      </c>
      <c r="G12" s="144">
        <f>'Area Matrix'!D22</f>
        <v>158414</v>
      </c>
      <c r="J12" s="102" t="s">
        <v>509</v>
      </c>
      <c r="M12" s="107">
        <f>G12*G18</f>
        <v>4844300.12</v>
      </c>
      <c r="N12" s="108">
        <f>M12/G12</f>
        <v>30.580000000000002</v>
      </c>
      <c r="P12" s="102" t="s">
        <v>591</v>
      </c>
      <c r="R12" s="107">
        <f ca="1">SUM('Area Matrix'!D37,'Area Matrix'!H37,'Area Matrix'!L37,'Area Matrix'!P37,'Area Matrix'!T37)</f>
        <v>46431924.37108025</v>
      </c>
    </row>
    <row r="13" spans="1:19">
      <c r="B13" s="326" t="s">
        <v>692</v>
      </c>
      <c r="G13" s="671">
        <v>2500</v>
      </c>
      <c r="J13" s="102" t="s">
        <v>521</v>
      </c>
      <c r="M13" s="107">
        <f>-M12*G21</f>
        <v>-484430.01200000005</v>
      </c>
      <c r="N13" s="103"/>
      <c r="P13" s="109" t="s">
        <v>507</v>
      </c>
      <c r="R13" s="147">
        <f ca="1">R12*G28</f>
        <v>0</v>
      </c>
    </row>
    <row r="14" spans="1:19">
      <c r="B14" s="326" t="s">
        <v>693</v>
      </c>
      <c r="G14" s="144">
        <f>G12/G13</f>
        <v>63.365600000000001</v>
      </c>
      <c r="J14" s="111" t="s">
        <v>522</v>
      </c>
      <c r="K14" s="111"/>
      <c r="L14" s="111"/>
      <c r="M14" s="112">
        <f>M12+M13</f>
        <v>4359870.108</v>
      </c>
      <c r="N14" s="113"/>
      <c r="P14" s="114" t="s">
        <v>453</v>
      </c>
      <c r="Q14" s="111"/>
      <c r="R14" s="112">
        <f ca="1">SUM(R12:R13)</f>
        <v>46431924.37108025</v>
      </c>
    </row>
    <row r="15" spans="1:19">
      <c r="N15" s="103"/>
      <c r="S15" s="110"/>
    </row>
    <row r="16" spans="1:19">
      <c r="B16" s="104" t="s">
        <v>558</v>
      </c>
      <c r="C16" s="104"/>
      <c r="D16" s="104"/>
      <c r="E16" s="104"/>
      <c r="F16" s="104"/>
      <c r="G16" s="104"/>
      <c r="H16" s="104"/>
      <c r="I16" s="105"/>
      <c r="J16" s="116" t="s">
        <v>11</v>
      </c>
      <c r="N16" s="103"/>
      <c r="P16" s="104" t="s">
        <v>499</v>
      </c>
      <c r="Q16" s="104"/>
      <c r="R16" s="104"/>
      <c r="S16" s="115"/>
    </row>
    <row r="17" spans="2:18">
      <c r="B17" s="102" t="s">
        <v>559</v>
      </c>
      <c r="G17" s="660">
        <v>15</v>
      </c>
      <c r="H17" s="102" t="s">
        <v>560</v>
      </c>
      <c r="J17" s="102" t="s">
        <v>565</v>
      </c>
      <c r="M17" s="107">
        <f>N17*$G$12</f>
        <v>237621</v>
      </c>
      <c r="N17" s="656">
        <v>1.5</v>
      </c>
      <c r="P17" s="109" t="s">
        <v>478</v>
      </c>
      <c r="R17" s="107">
        <f ca="1">G34</f>
        <v>32502347.059756171</v>
      </c>
    </row>
    <row r="18" spans="2:18">
      <c r="B18" s="102" t="s">
        <v>561</v>
      </c>
      <c r="G18" s="661">
        <v>30.58</v>
      </c>
      <c r="H18" s="102" t="s">
        <v>562</v>
      </c>
      <c r="J18" s="102" t="s">
        <v>567</v>
      </c>
      <c r="M18" s="107">
        <f>N18*$G$12</f>
        <v>237621</v>
      </c>
      <c r="N18" s="656">
        <v>1.5</v>
      </c>
      <c r="P18" s="109" t="s">
        <v>28</v>
      </c>
      <c r="R18" s="107">
        <f ca="1">R19-R17</f>
        <v>13929577.311324079</v>
      </c>
    </row>
    <row r="19" spans="2:18">
      <c r="B19" s="102" t="s">
        <v>563</v>
      </c>
      <c r="G19" s="662">
        <v>0.03</v>
      </c>
      <c r="H19" s="102" t="s">
        <v>564</v>
      </c>
      <c r="J19" s="102" t="s">
        <v>36</v>
      </c>
      <c r="M19" s="107">
        <f>N19*$G$12</f>
        <v>316828</v>
      </c>
      <c r="N19" s="656">
        <v>2</v>
      </c>
      <c r="P19" s="114" t="s">
        <v>458</v>
      </c>
      <c r="Q19" s="111"/>
      <c r="R19" s="112">
        <f ca="1">R14</f>
        <v>46431924.37108025</v>
      </c>
    </row>
    <row r="20" spans="2:18">
      <c r="B20" s="102" t="s">
        <v>566</v>
      </c>
      <c r="G20" s="662">
        <v>0.02</v>
      </c>
      <c r="J20" s="381" t="s">
        <v>728</v>
      </c>
      <c r="M20" s="107">
        <f>N20*$M$12</f>
        <v>193772.0048</v>
      </c>
      <c r="N20" s="382">
        <f>Taxes!$H$13</f>
        <v>0.04</v>
      </c>
    </row>
    <row r="21" spans="2:18">
      <c r="B21" s="102" t="s">
        <v>568</v>
      </c>
      <c r="G21" s="662">
        <v>0.1</v>
      </c>
      <c r="H21" s="102" t="s">
        <v>590</v>
      </c>
      <c r="J21" s="102" t="s">
        <v>571</v>
      </c>
      <c r="M21" s="107">
        <f>N21*$M$12</f>
        <v>145329.0036</v>
      </c>
      <c r="N21" s="658">
        <v>0.03</v>
      </c>
      <c r="P21" s="102" t="s">
        <v>394</v>
      </c>
      <c r="R21" s="657">
        <v>0.08</v>
      </c>
    </row>
    <row r="22" spans="2:18">
      <c r="B22" s="102" t="s">
        <v>569</v>
      </c>
      <c r="G22" s="661">
        <v>15</v>
      </c>
      <c r="H22" s="102" t="s">
        <v>570</v>
      </c>
      <c r="J22" s="111" t="s">
        <v>414</v>
      </c>
      <c r="K22" s="111"/>
      <c r="L22" s="111"/>
      <c r="M22" s="112">
        <f>SUM(M17:M21)</f>
        <v>1131171.0083999999</v>
      </c>
      <c r="N22" s="659">
        <v>4</v>
      </c>
      <c r="P22" s="102"/>
    </row>
    <row r="23" spans="2:18">
      <c r="B23" s="102" t="s">
        <v>572</v>
      </c>
      <c r="G23" s="662">
        <v>0.06</v>
      </c>
      <c r="N23" s="103"/>
      <c r="P23" s="102"/>
    </row>
    <row r="24" spans="2:18">
      <c r="B24" s="102" t="s">
        <v>389</v>
      </c>
      <c r="G24" s="663">
        <v>5.3999999999999999E-2</v>
      </c>
      <c r="J24" s="102" t="s">
        <v>575</v>
      </c>
      <c r="M24" s="107">
        <f>M14-M22</f>
        <v>3228699.0996000003</v>
      </c>
      <c r="N24" s="103"/>
    </row>
    <row r="25" spans="2:18">
      <c r="B25" s="102" t="s">
        <v>390</v>
      </c>
      <c r="G25" s="663">
        <v>0.05</v>
      </c>
    </row>
    <row r="26" spans="2:18">
      <c r="B26" s="102" t="s">
        <v>573</v>
      </c>
      <c r="G26" s="664">
        <v>0</v>
      </c>
      <c r="H26" s="102" t="s">
        <v>574</v>
      </c>
      <c r="N26" s="103"/>
    </row>
    <row r="27" spans="2:18">
      <c r="B27" s="102" t="s">
        <v>391</v>
      </c>
      <c r="G27" s="665">
        <v>10</v>
      </c>
      <c r="H27" s="102" t="s">
        <v>560</v>
      </c>
      <c r="M27" s="107"/>
      <c r="N27" s="103"/>
    </row>
    <row r="28" spans="2:18">
      <c r="B28" s="102" t="s">
        <v>393</v>
      </c>
      <c r="G28" s="662">
        <v>0</v>
      </c>
      <c r="J28" s="118"/>
      <c r="M28" s="107"/>
      <c r="N28" s="103"/>
    </row>
    <row r="29" spans="2:18">
      <c r="J29" s="118"/>
      <c r="N29" s="103"/>
    </row>
    <row r="30" spans="2:18">
      <c r="B30" s="104" t="s">
        <v>576</v>
      </c>
      <c r="C30" s="104"/>
      <c r="D30" s="104"/>
      <c r="E30" s="104"/>
      <c r="F30" s="104"/>
      <c r="G30" s="104"/>
      <c r="H30" s="104"/>
      <c r="I30" s="105"/>
      <c r="N30" s="103"/>
    </row>
    <row r="31" spans="2:18">
      <c r="B31" s="102" t="s">
        <v>577</v>
      </c>
      <c r="G31" s="657">
        <v>0.7</v>
      </c>
      <c r="H31" s="102" t="s">
        <v>578</v>
      </c>
      <c r="J31" s="115"/>
      <c r="N31" s="103"/>
    </row>
    <row r="32" spans="2:18">
      <c r="B32" s="102" t="s">
        <v>460</v>
      </c>
      <c r="G32" s="657">
        <v>0.05</v>
      </c>
      <c r="J32" s="115"/>
    </row>
    <row r="33" spans="1:37">
      <c r="B33" s="102" t="s">
        <v>540</v>
      </c>
      <c r="G33" s="660">
        <v>30</v>
      </c>
      <c r="H33" s="102" t="s">
        <v>579</v>
      </c>
    </row>
    <row r="34" spans="1:37">
      <c r="B34" s="102" t="s">
        <v>580</v>
      </c>
      <c r="G34" s="107">
        <f ca="1">G31*R14</f>
        <v>32502347.059756171</v>
      </c>
    </row>
    <row r="35" spans="1:37">
      <c r="B35" s="102" t="s">
        <v>581</v>
      </c>
      <c r="G35" s="107">
        <f ca="1">PMT(G32/12,G33*12,G34)</f>
        <v>-174479.62700322134</v>
      </c>
    </row>
    <row r="37" spans="1:37">
      <c r="A37" s="102" t="s">
        <v>472</v>
      </c>
      <c r="B37" s="104" t="s">
        <v>513</v>
      </c>
      <c r="C37" s="104"/>
      <c r="D37" s="104"/>
      <c r="E37" s="104"/>
      <c r="F37" s="104"/>
      <c r="G37" s="672">
        <v>0</v>
      </c>
      <c r="H37" s="119">
        <f>G37+1</f>
        <v>1</v>
      </c>
      <c r="I37" s="119">
        <f t="shared" ref="I37:R37" si="0">H37+1</f>
        <v>2</v>
      </c>
      <c r="J37" s="119">
        <f t="shared" si="0"/>
        <v>3</v>
      </c>
      <c r="K37" s="119">
        <f t="shared" si="0"/>
        <v>4</v>
      </c>
      <c r="L37" s="119">
        <f t="shared" si="0"/>
        <v>5</v>
      </c>
      <c r="M37" s="119">
        <f t="shared" si="0"/>
        <v>6</v>
      </c>
      <c r="N37" s="119">
        <f t="shared" si="0"/>
        <v>7</v>
      </c>
      <c r="O37" s="119">
        <f t="shared" si="0"/>
        <v>8</v>
      </c>
      <c r="P37" s="119">
        <f t="shared" si="0"/>
        <v>9</v>
      </c>
      <c r="Q37" s="119">
        <f t="shared" si="0"/>
        <v>10</v>
      </c>
      <c r="R37" s="119">
        <f t="shared" si="0"/>
        <v>11</v>
      </c>
      <c r="S37" s="119">
        <f t="shared" ref="S37" si="1">R37+1</f>
        <v>12</v>
      </c>
      <c r="T37" s="119">
        <f t="shared" ref="T37" si="2">S37+1</f>
        <v>13</v>
      </c>
      <c r="U37" s="119">
        <f t="shared" ref="U37" si="3">T37+1</f>
        <v>14</v>
      </c>
      <c r="V37" s="119">
        <f t="shared" ref="V37" si="4">U37+1</f>
        <v>15</v>
      </c>
      <c r="W37" s="119">
        <f t="shared" ref="W37" si="5">V37+1</f>
        <v>16</v>
      </c>
      <c r="X37" s="119">
        <f t="shared" ref="X37" si="6">W37+1</f>
        <v>17</v>
      </c>
      <c r="Y37" s="119">
        <f t="shared" ref="Y37" si="7">X37+1</f>
        <v>18</v>
      </c>
      <c r="Z37" s="119">
        <f t="shared" ref="Z37" si="8">Y37+1</f>
        <v>19</v>
      </c>
      <c r="AA37" s="119">
        <f t="shared" ref="AA37" si="9">Z37+1</f>
        <v>20</v>
      </c>
      <c r="AB37" s="119">
        <f t="shared" ref="AB37" si="10">AA37+1</f>
        <v>21</v>
      </c>
      <c r="AC37" s="119">
        <f t="shared" ref="AC37" si="11">AB37+1</f>
        <v>22</v>
      </c>
      <c r="AD37" s="119">
        <f t="shared" ref="AD37" si="12">AC37+1</f>
        <v>23</v>
      </c>
      <c r="AE37" s="119">
        <f t="shared" ref="AE37" si="13">AD37+1</f>
        <v>24</v>
      </c>
      <c r="AF37" s="119">
        <f t="shared" ref="AF37" si="14">AE37+1</f>
        <v>25</v>
      </c>
      <c r="AG37" s="119">
        <f t="shared" ref="AG37" si="15">AF37+1</f>
        <v>26</v>
      </c>
      <c r="AH37" s="119">
        <f t="shared" ref="AH37" si="16">AG37+1</f>
        <v>27</v>
      </c>
      <c r="AI37" s="119">
        <f t="shared" ref="AI37" si="17">AH37+1</f>
        <v>28</v>
      </c>
      <c r="AJ37" s="119">
        <f t="shared" ref="AJ37" si="18">AI37+1</f>
        <v>29</v>
      </c>
      <c r="AK37" s="119">
        <f t="shared" ref="AK37" si="19">AJ37+1</f>
        <v>30</v>
      </c>
    </row>
    <row r="38" spans="1:37">
      <c r="B38" s="102" t="s">
        <v>412</v>
      </c>
      <c r="H38" s="120">
        <f t="shared" ref="H38:AK38" si="20">1-$G$21</f>
        <v>0.9</v>
      </c>
      <c r="I38" s="120">
        <f t="shared" si="20"/>
        <v>0.9</v>
      </c>
      <c r="J38" s="120">
        <f t="shared" si="20"/>
        <v>0.9</v>
      </c>
      <c r="K38" s="120">
        <f t="shared" si="20"/>
        <v>0.9</v>
      </c>
      <c r="L38" s="120">
        <f t="shared" si="20"/>
        <v>0.9</v>
      </c>
      <c r="M38" s="120">
        <f t="shared" si="20"/>
        <v>0.9</v>
      </c>
      <c r="N38" s="120">
        <f t="shared" si="20"/>
        <v>0.9</v>
      </c>
      <c r="O38" s="120">
        <f t="shared" si="20"/>
        <v>0.9</v>
      </c>
      <c r="P38" s="120">
        <f t="shared" si="20"/>
        <v>0.9</v>
      </c>
      <c r="Q38" s="120">
        <f t="shared" si="20"/>
        <v>0.9</v>
      </c>
      <c r="R38" s="120">
        <f t="shared" si="20"/>
        <v>0.9</v>
      </c>
      <c r="S38" s="120">
        <f t="shared" si="20"/>
        <v>0.9</v>
      </c>
      <c r="T38" s="120">
        <f t="shared" si="20"/>
        <v>0.9</v>
      </c>
      <c r="U38" s="120">
        <f t="shared" si="20"/>
        <v>0.9</v>
      </c>
      <c r="V38" s="120">
        <f t="shared" si="20"/>
        <v>0.9</v>
      </c>
      <c r="W38" s="120">
        <f t="shared" si="20"/>
        <v>0.9</v>
      </c>
      <c r="X38" s="120">
        <f t="shared" si="20"/>
        <v>0.9</v>
      </c>
      <c r="Y38" s="120">
        <f t="shared" si="20"/>
        <v>0.9</v>
      </c>
      <c r="Z38" s="120">
        <f t="shared" si="20"/>
        <v>0.9</v>
      </c>
      <c r="AA38" s="120">
        <f t="shared" si="20"/>
        <v>0.9</v>
      </c>
      <c r="AB38" s="120">
        <f t="shared" si="20"/>
        <v>0.9</v>
      </c>
      <c r="AC38" s="120">
        <f t="shared" si="20"/>
        <v>0.9</v>
      </c>
      <c r="AD38" s="120">
        <f t="shared" si="20"/>
        <v>0.9</v>
      </c>
      <c r="AE38" s="120">
        <f t="shared" si="20"/>
        <v>0.9</v>
      </c>
      <c r="AF38" s="120">
        <f t="shared" si="20"/>
        <v>0.9</v>
      </c>
      <c r="AG38" s="120">
        <f t="shared" si="20"/>
        <v>0.9</v>
      </c>
      <c r="AH38" s="120">
        <f t="shared" si="20"/>
        <v>0.9</v>
      </c>
      <c r="AI38" s="120">
        <f t="shared" si="20"/>
        <v>0.9</v>
      </c>
      <c r="AJ38" s="120">
        <f t="shared" si="20"/>
        <v>0.9</v>
      </c>
      <c r="AK38" s="120">
        <f t="shared" si="20"/>
        <v>0.9</v>
      </c>
    </row>
    <row r="40" spans="1:37">
      <c r="B40" s="102" t="s">
        <v>595</v>
      </c>
      <c r="G40" s="107">
        <f ca="1">-R14</f>
        <v>-46431924.37108025</v>
      </c>
    </row>
    <row r="41" spans="1:37">
      <c r="I41" s="121"/>
    </row>
    <row r="42" spans="1:37">
      <c r="B42" s="102" t="s">
        <v>509</v>
      </c>
      <c r="H42" s="107">
        <f t="shared" ref="H42:R42" si="21">$M$12*(1+$G$19)^G37</f>
        <v>4844300.12</v>
      </c>
      <c r="I42" s="107">
        <f t="shared" si="21"/>
        <v>4989629.1236000005</v>
      </c>
      <c r="J42" s="107">
        <f t="shared" si="21"/>
        <v>5139317.997308</v>
      </c>
      <c r="K42" s="107">
        <f t="shared" si="21"/>
        <v>5293497.5372272404</v>
      </c>
      <c r="L42" s="107">
        <f t="shared" si="21"/>
        <v>5452302.4633440571</v>
      </c>
      <c r="M42" s="107">
        <f t="shared" si="21"/>
        <v>5615871.5372443786</v>
      </c>
      <c r="N42" s="107">
        <f t="shared" si="21"/>
        <v>5784347.68336171</v>
      </c>
      <c r="O42" s="107">
        <f t="shared" si="21"/>
        <v>5957878.113862562</v>
      </c>
      <c r="P42" s="107">
        <f t="shared" si="21"/>
        <v>6136614.4572784379</v>
      </c>
      <c r="Q42" s="107">
        <f t="shared" si="21"/>
        <v>6320712.8909967914</v>
      </c>
      <c r="R42" s="107">
        <f t="shared" si="21"/>
        <v>6510334.2777266949</v>
      </c>
      <c r="S42" s="107">
        <f t="shared" ref="S42" si="22">$M$12*(1+$G$19)^R37</f>
        <v>6705644.3060584962</v>
      </c>
      <c r="T42" s="107">
        <f t="shared" ref="T42" si="23">$M$12*(1+$G$19)^S37</f>
        <v>6906813.6352402493</v>
      </c>
      <c r="U42" s="107">
        <f t="shared" ref="U42" si="24">$M$12*(1+$G$19)^T37</f>
        <v>7114018.0442974567</v>
      </c>
      <c r="V42" s="107">
        <f t="shared" ref="V42" si="25">$M$12*(1+$G$19)^U37</f>
        <v>7327438.5856263814</v>
      </c>
      <c r="W42" s="107">
        <f t="shared" ref="W42" si="26">$M$12*(1+$G$19)^V37</f>
        <v>7547261.7431951733</v>
      </c>
      <c r="X42" s="107">
        <f t="shared" ref="X42" si="27">$M$12*(1+$G$19)^W37</f>
        <v>7773679.5954910275</v>
      </c>
      <c r="Y42" s="107">
        <f t="shared" ref="Y42" si="28">$M$12*(1+$G$19)^X37</f>
        <v>8006889.9833557578</v>
      </c>
      <c r="Z42" s="107">
        <f t="shared" ref="Z42" si="29">$M$12*(1+$G$19)^Y37</f>
        <v>8247096.6828564312</v>
      </c>
      <c r="AA42" s="107">
        <f t="shared" ref="AA42" si="30">$M$12*(1+$G$19)^Z37</f>
        <v>8494509.5833421238</v>
      </c>
      <c r="AB42" s="107">
        <f t="shared" ref="AB42" si="31">$M$12*(1+$G$19)^AA37</f>
        <v>8749344.8708423879</v>
      </c>
      <c r="AC42" s="107">
        <f t="shared" ref="AC42" si="32">$M$12*(1+$G$19)^AB37</f>
        <v>9011825.2169676572</v>
      </c>
      <c r="AD42" s="107">
        <f t="shared" ref="AD42" si="33">$M$12*(1+$G$19)^AC37</f>
        <v>9282179.9734766874</v>
      </c>
      <c r="AE42" s="107">
        <f t="shared" ref="AE42" si="34">$M$12*(1+$G$19)^AD37</f>
        <v>9560645.37268099</v>
      </c>
      <c r="AF42" s="107">
        <f t="shared" ref="AF42" si="35">$M$12*(1+$G$19)^AE37</f>
        <v>9847464.7338614184</v>
      </c>
      <c r="AG42" s="107">
        <f t="shared" ref="AG42" si="36">$M$12*(1+$G$19)^AF37</f>
        <v>10142888.67587726</v>
      </c>
      <c r="AH42" s="107">
        <f t="shared" ref="AH42" si="37">$M$12*(1+$G$19)^AG37</f>
        <v>10447175.33615358</v>
      </c>
      <c r="AI42" s="107">
        <f t="shared" ref="AI42" si="38">$M$12*(1+$G$19)^AH37</f>
        <v>10760590.596238185</v>
      </c>
      <c r="AJ42" s="107">
        <f t="shared" ref="AJ42" si="39">$M$12*(1+$G$19)^AI37</f>
        <v>11083408.314125331</v>
      </c>
      <c r="AK42" s="107">
        <f t="shared" ref="AK42" si="40">$M$12*(1+$G$19)^AJ37</f>
        <v>11415910.56354909</v>
      </c>
    </row>
    <row r="43" spans="1:37">
      <c r="C43" s="102" t="s">
        <v>521</v>
      </c>
      <c r="H43" s="107">
        <f>-(1-H38)*H42</f>
        <v>-484430.01199999993</v>
      </c>
      <c r="I43" s="107">
        <f t="shared" ref="I43:R43" si="41">-(1-I38)*I42</f>
        <v>-498962.91235999996</v>
      </c>
      <c r="J43" s="107">
        <f t="shared" si="41"/>
        <v>-513931.79973079986</v>
      </c>
      <c r="K43" s="107">
        <f t="shared" si="41"/>
        <v>-529349.75372272392</v>
      </c>
      <c r="L43" s="107">
        <f t="shared" si="41"/>
        <v>-545230.24633440562</v>
      </c>
      <c r="M43" s="107">
        <f t="shared" si="41"/>
        <v>-561587.1537244377</v>
      </c>
      <c r="N43" s="107">
        <f t="shared" si="41"/>
        <v>-578434.76833617082</v>
      </c>
      <c r="O43" s="107">
        <f t="shared" si="41"/>
        <v>-595787.81138625601</v>
      </c>
      <c r="P43" s="107">
        <f t="shared" si="41"/>
        <v>-613661.44572784367</v>
      </c>
      <c r="Q43" s="107">
        <f t="shared" si="41"/>
        <v>-632071.28909967898</v>
      </c>
      <c r="R43" s="107">
        <f t="shared" si="41"/>
        <v>-651033.42777266935</v>
      </c>
      <c r="S43" s="107">
        <f t="shared" ref="S43:AK43" si="42">-(1-S38)*S42</f>
        <v>-670564.43060584948</v>
      </c>
      <c r="T43" s="107">
        <f t="shared" si="42"/>
        <v>-690681.36352402472</v>
      </c>
      <c r="U43" s="107">
        <f t="shared" si="42"/>
        <v>-711401.80442974553</v>
      </c>
      <c r="V43" s="107">
        <f t="shared" si="42"/>
        <v>-732743.85856263794</v>
      </c>
      <c r="W43" s="107">
        <f t="shared" si="42"/>
        <v>-754726.17431951722</v>
      </c>
      <c r="X43" s="107">
        <f t="shared" si="42"/>
        <v>-777367.95954910258</v>
      </c>
      <c r="Y43" s="107">
        <f t="shared" si="42"/>
        <v>-800688.99833557557</v>
      </c>
      <c r="Z43" s="107">
        <f t="shared" si="42"/>
        <v>-824709.66828564298</v>
      </c>
      <c r="AA43" s="107">
        <f t="shared" si="42"/>
        <v>-849450.95833421219</v>
      </c>
      <c r="AB43" s="107">
        <f t="shared" si="42"/>
        <v>-874934.48708423856</v>
      </c>
      <c r="AC43" s="107">
        <f t="shared" si="42"/>
        <v>-901182.52169676556</v>
      </c>
      <c r="AD43" s="107">
        <f t="shared" si="42"/>
        <v>-928217.99734766851</v>
      </c>
      <c r="AE43" s="107">
        <f t="shared" si="42"/>
        <v>-956064.53726809879</v>
      </c>
      <c r="AF43" s="107">
        <f t="shared" si="42"/>
        <v>-984746.47338614159</v>
      </c>
      <c r="AG43" s="107">
        <f t="shared" si="42"/>
        <v>-1014288.8675877257</v>
      </c>
      <c r="AH43" s="107">
        <f t="shared" si="42"/>
        <v>-1044717.5336153577</v>
      </c>
      <c r="AI43" s="107">
        <f t="shared" si="42"/>
        <v>-1076059.0596238181</v>
      </c>
      <c r="AJ43" s="107">
        <f t="shared" si="42"/>
        <v>-1108340.8314125328</v>
      </c>
      <c r="AK43" s="107">
        <f t="shared" si="42"/>
        <v>-1141591.0563549087</v>
      </c>
    </row>
    <row r="44" spans="1:37">
      <c r="C44" s="102" t="s">
        <v>573</v>
      </c>
      <c r="H44" s="667">
        <v>0</v>
      </c>
      <c r="I44" s="667">
        <v>0</v>
      </c>
      <c r="J44" s="667">
        <v>0</v>
      </c>
      <c r="K44" s="667">
        <v>0</v>
      </c>
      <c r="L44" s="667">
        <v>0</v>
      </c>
      <c r="M44" s="667">
        <v>0</v>
      </c>
      <c r="N44" s="667">
        <v>0</v>
      </c>
      <c r="O44" s="667">
        <v>0</v>
      </c>
      <c r="P44" s="667">
        <v>0</v>
      </c>
      <c r="Q44" s="667">
        <v>0</v>
      </c>
      <c r="R44" s="667">
        <v>0</v>
      </c>
      <c r="S44" s="667">
        <v>0</v>
      </c>
      <c r="T44" s="667">
        <v>0</v>
      </c>
      <c r="U44" s="667">
        <v>0</v>
      </c>
      <c r="V44" s="667">
        <v>0</v>
      </c>
      <c r="W44" s="667">
        <v>0</v>
      </c>
      <c r="X44" s="667">
        <v>0</v>
      </c>
      <c r="Y44" s="667">
        <v>0</v>
      </c>
      <c r="Z44" s="667">
        <v>0</v>
      </c>
      <c r="AA44" s="667">
        <v>0</v>
      </c>
      <c r="AB44" s="667">
        <v>0</v>
      </c>
      <c r="AC44" s="667">
        <v>0</v>
      </c>
      <c r="AD44" s="667">
        <v>0</v>
      </c>
      <c r="AE44" s="667">
        <v>0</v>
      </c>
      <c r="AF44" s="667">
        <v>0</v>
      </c>
      <c r="AG44" s="667">
        <v>0</v>
      </c>
      <c r="AH44" s="667">
        <v>0</v>
      </c>
      <c r="AI44" s="667">
        <v>0</v>
      </c>
      <c r="AJ44" s="667">
        <v>0</v>
      </c>
      <c r="AK44" s="667">
        <v>0</v>
      </c>
    </row>
    <row r="45" spans="1:37">
      <c r="B45" s="111" t="s">
        <v>522</v>
      </c>
      <c r="C45" s="111"/>
      <c r="D45" s="111"/>
      <c r="E45" s="111"/>
      <c r="F45" s="111"/>
      <c r="G45" s="111"/>
      <c r="H45" s="112">
        <f>SUM(H42:H44)</f>
        <v>4359870.108</v>
      </c>
      <c r="I45" s="112">
        <f t="shared" ref="I45:R45" si="43">SUM(I42:I44)</f>
        <v>4490666.211240001</v>
      </c>
      <c r="J45" s="112">
        <f t="shared" si="43"/>
        <v>4625386.1975771999</v>
      </c>
      <c r="K45" s="112">
        <f t="shared" si="43"/>
        <v>4764147.7835045168</v>
      </c>
      <c r="L45" s="112">
        <f t="shared" si="43"/>
        <v>4907072.2170096515</v>
      </c>
      <c r="M45" s="112">
        <f t="shared" si="43"/>
        <v>5054284.383519941</v>
      </c>
      <c r="N45" s="112">
        <f t="shared" si="43"/>
        <v>5205912.9150255397</v>
      </c>
      <c r="O45" s="112">
        <f t="shared" si="43"/>
        <v>5362090.3024763055</v>
      </c>
      <c r="P45" s="112">
        <f t="shared" si="43"/>
        <v>5522953.0115505941</v>
      </c>
      <c r="Q45" s="112">
        <f t="shared" si="43"/>
        <v>5688641.6018971121</v>
      </c>
      <c r="R45" s="112">
        <f t="shared" si="43"/>
        <v>5859300.8499540258</v>
      </c>
      <c r="S45" s="112">
        <f t="shared" ref="S45:AK45" si="44">SUM(S42:S44)</f>
        <v>6035079.875452647</v>
      </c>
      <c r="T45" s="112">
        <f t="shared" si="44"/>
        <v>6216132.271716225</v>
      </c>
      <c r="U45" s="112">
        <f t="shared" si="44"/>
        <v>6402616.2398677114</v>
      </c>
      <c r="V45" s="112">
        <f t="shared" si="44"/>
        <v>6594694.7270637434</v>
      </c>
      <c r="W45" s="112">
        <f t="shared" si="44"/>
        <v>6792535.5688756565</v>
      </c>
      <c r="X45" s="112">
        <f t="shared" si="44"/>
        <v>6996311.6359419245</v>
      </c>
      <c r="Y45" s="112">
        <f t="shared" si="44"/>
        <v>7206200.9850201821</v>
      </c>
      <c r="Z45" s="112">
        <f t="shared" si="44"/>
        <v>7422387.0145707885</v>
      </c>
      <c r="AA45" s="112">
        <f t="shared" si="44"/>
        <v>7645058.6250079116</v>
      </c>
      <c r="AB45" s="112">
        <f t="shared" si="44"/>
        <v>7874410.3837581491</v>
      </c>
      <c r="AC45" s="112">
        <f t="shared" si="44"/>
        <v>8110642.6952708913</v>
      </c>
      <c r="AD45" s="112">
        <f t="shared" si="44"/>
        <v>8353961.9761290187</v>
      </c>
      <c r="AE45" s="112">
        <f t="shared" si="44"/>
        <v>8604580.8354128916</v>
      </c>
      <c r="AF45" s="112">
        <f t="shared" si="44"/>
        <v>8862718.260475276</v>
      </c>
      <c r="AG45" s="112">
        <f t="shared" si="44"/>
        <v>9128599.8082895335</v>
      </c>
      <c r="AH45" s="112">
        <f t="shared" si="44"/>
        <v>9402457.8025382217</v>
      </c>
      <c r="AI45" s="112">
        <f t="shared" si="44"/>
        <v>9684531.5366143659</v>
      </c>
      <c r="AJ45" s="112">
        <f t="shared" si="44"/>
        <v>9975067.4827127978</v>
      </c>
      <c r="AK45" s="112">
        <f t="shared" si="44"/>
        <v>10274319.507194182</v>
      </c>
    </row>
    <row r="47" spans="1:37">
      <c r="B47" s="102" t="s">
        <v>413</v>
      </c>
    </row>
    <row r="48" spans="1:37">
      <c r="C48" s="102" t="str">
        <f>J17</f>
        <v>Repairs and Maintenance</v>
      </c>
      <c r="H48" s="107">
        <f t="shared" ref="H48:AK48" si="45">$M17*(1+$G$20)^G$37</f>
        <v>237621</v>
      </c>
      <c r="I48" s="107">
        <f t="shared" si="45"/>
        <v>242373.42</v>
      </c>
      <c r="J48" s="107">
        <f t="shared" si="45"/>
        <v>247220.8884</v>
      </c>
      <c r="K48" s="107">
        <f t="shared" si="45"/>
        <v>252165.30616799998</v>
      </c>
      <c r="L48" s="107">
        <f t="shared" si="45"/>
        <v>257208.61229135998</v>
      </c>
      <c r="M48" s="107">
        <f t="shared" si="45"/>
        <v>262352.7845371872</v>
      </c>
      <c r="N48" s="107">
        <f t="shared" si="45"/>
        <v>267599.84022793098</v>
      </c>
      <c r="O48" s="107">
        <f t="shared" si="45"/>
        <v>272951.83703248954</v>
      </c>
      <c r="P48" s="107">
        <f t="shared" si="45"/>
        <v>278410.87377313932</v>
      </c>
      <c r="Q48" s="107">
        <f t="shared" si="45"/>
        <v>283979.09124860214</v>
      </c>
      <c r="R48" s="107">
        <f t="shared" si="45"/>
        <v>289658.6730735742</v>
      </c>
      <c r="S48" s="107">
        <f t="shared" si="45"/>
        <v>295451.8465350456</v>
      </c>
      <c r="T48" s="107">
        <f t="shared" si="45"/>
        <v>301360.88346574659</v>
      </c>
      <c r="U48" s="107">
        <f t="shared" si="45"/>
        <v>307388.10113506147</v>
      </c>
      <c r="V48" s="107">
        <f t="shared" si="45"/>
        <v>313535.86315776274</v>
      </c>
      <c r="W48" s="107">
        <f t="shared" si="45"/>
        <v>319806.58042091789</v>
      </c>
      <c r="X48" s="107">
        <f t="shared" si="45"/>
        <v>326202.71202933631</v>
      </c>
      <c r="Y48" s="107">
        <f t="shared" si="45"/>
        <v>332726.76626992307</v>
      </c>
      <c r="Z48" s="107">
        <f t="shared" si="45"/>
        <v>339381.30159532151</v>
      </c>
      <c r="AA48" s="107">
        <f t="shared" si="45"/>
        <v>346168.92762722791</v>
      </c>
      <c r="AB48" s="107">
        <f t="shared" si="45"/>
        <v>353092.30617977254</v>
      </c>
      <c r="AC48" s="107">
        <f t="shared" si="45"/>
        <v>360154.15230336791</v>
      </c>
      <c r="AD48" s="107">
        <f t="shared" si="45"/>
        <v>367357.2353494353</v>
      </c>
      <c r="AE48" s="107">
        <f t="shared" si="45"/>
        <v>374704.38005642395</v>
      </c>
      <c r="AF48" s="107">
        <f t="shared" si="45"/>
        <v>382198.46765755245</v>
      </c>
      <c r="AG48" s="107">
        <f t="shared" si="45"/>
        <v>389842.43701070349</v>
      </c>
      <c r="AH48" s="107">
        <f t="shared" si="45"/>
        <v>397639.28575091762</v>
      </c>
      <c r="AI48" s="107">
        <f t="shared" si="45"/>
        <v>405592.07146593591</v>
      </c>
      <c r="AJ48" s="107">
        <f t="shared" si="45"/>
        <v>413703.91289525467</v>
      </c>
      <c r="AK48" s="107">
        <f t="shared" si="45"/>
        <v>421977.9911531597</v>
      </c>
    </row>
    <row r="49" spans="2:37">
      <c r="C49" s="102" t="str">
        <f>J18</f>
        <v>Administrative</v>
      </c>
      <c r="H49" s="107">
        <f t="shared" ref="H49:AK49" si="46">$M18*(1+$G$20)^G$37</f>
        <v>237621</v>
      </c>
      <c r="I49" s="107">
        <f t="shared" si="46"/>
        <v>242373.42</v>
      </c>
      <c r="J49" s="107">
        <f t="shared" si="46"/>
        <v>247220.8884</v>
      </c>
      <c r="K49" s="107">
        <f t="shared" si="46"/>
        <v>252165.30616799998</v>
      </c>
      <c r="L49" s="107">
        <f t="shared" si="46"/>
        <v>257208.61229135998</v>
      </c>
      <c r="M49" s="107">
        <f t="shared" si="46"/>
        <v>262352.7845371872</v>
      </c>
      <c r="N49" s="107">
        <f t="shared" si="46"/>
        <v>267599.84022793098</v>
      </c>
      <c r="O49" s="107">
        <f t="shared" si="46"/>
        <v>272951.83703248954</v>
      </c>
      <c r="P49" s="107">
        <f t="shared" si="46"/>
        <v>278410.87377313932</v>
      </c>
      <c r="Q49" s="107">
        <f t="shared" si="46"/>
        <v>283979.09124860214</v>
      </c>
      <c r="R49" s="107">
        <f t="shared" si="46"/>
        <v>289658.6730735742</v>
      </c>
      <c r="S49" s="107">
        <f t="shared" si="46"/>
        <v>295451.8465350456</v>
      </c>
      <c r="T49" s="107">
        <f t="shared" si="46"/>
        <v>301360.88346574659</v>
      </c>
      <c r="U49" s="107">
        <f t="shared" si="46"/>
        <v>307388.10113506147</v>
      </c>
      <c r="V49" s="107">
        <f t="shared" si="46"/>
        <v>313535.86315776274</v>
      </c>
      <c r="W49" s="107">
        <f t="shared" si="46"/>
        <v>319806.58042091789</v>
      </c>
      <c r="X49" s="107">
        <f t="shared" si="46"/>
        <v>326202.71202933631</v>
      </c>
      <c r="Y49" s="107">
        <f t="shared" si="46"/>
        <v>332726.76626992307</v>
      </c>
      <c r="Z49" s="107">
        <f t="shared" si="46"/>
        <v>339381.30159532151</v>
      </c>
      <c r="AA49" s="107">
        <f t="shared" si="46"/>
        <v>346168.92762722791</v>
      </c>
      <c r="AB49" s="107">
        <f t="shared" si="46"/>
        <v>353092.30617977254</v>
      </c>
      <c r="AC49" s="107">
        <f t="shared" si="46"/>
        <v>360154.15230336791</v>
      </c>
      <c r="AD49" s="107">
        <f t="shared" si="46"/>
        <v>367357.2353494353</v>
      </c>
      <c r="AE49" s="107">
        <f t="shared" si="46"/>
        <v>374704.38005642395</v>
      </c>
      <c r="AF49" s="107">
        <f t="shared" si="46"/>
        <v>382198.46765755245</v>
      </c>
      <c r="AG49" s="107">
        <f t="shared" si="46"/>
        <v>389842.43701070349</v>
      </c>
      <c r="AH49" s="107">
        <f t="shared" si="46"/>
        <v>397639.28575091762</v>
      </c>
      <c r="AI49" s="107">
        <f t="shared" si="46"/>
        <v>405592.07146593591</v>
      </c>
      <c r="AJ49" s="107">
        <f t="shared" si="46"/>
        <v>413703.91289525467</v>
      </c>
      <c r="AK49" s="107">
        <f t="shared" si="46"/>
        <v>421977.9911531597</v>
      </c>
    </row>
    <row r="50" spans="2:37">
      <c r="C50" s="102" t="str">
        <f>J19</f>
        <v>Utilities</v>
      </c>
      <c r="H50" s="107">
        <f t="shared" ref="H50:AK51" si="47">$M19*(1+$G$20)^G$37</f>
        <v>316828</v>
      </c>
      <c r="I50" s="107">
        <f t="shared" si="47"/>
        <v>323164.56</v>
      </c>
      <c r="J50" s="107">
        <f t="shared" si="47"/>
        <v>329627.85119999998</v>
      </c>
      <c r="K50" s="107">
        <f t="shared" si="47"/>
        <v>336220.40822399996</v>
      </c>
      <c r="L50" s="107">
        <f t="shared" si="47"/>
        <v>342944.81638848002</v>
      </c>
      <c r="M50" s="107">
        <f t="shared" si="47"/>
        <v>349803.71271624963</v>
      </c>
      <c r="N50" s="107">
        <f t="shared" si="47"/>
        <v>356799.78697057464</v>
      </c>
      <c r="O50" s="107">
        <f t="shared" si="47"/>
        <v>363935.78270998603</v>
      </c>
      <c r="P50" s="107">
        <f t="shared" si="47"/>
        <v>371214.4983641858</v>
      </c>
      <c r="Q50" s="107">
        <f t="shared" si="47"/>
        <v>378638.78833146952</v>
      </c>
      <c r="R50" s="107">
        <f t="shared" si="47"/>
        <v>386211.5640980989</v>
      </c>
      <c r="S50" s="107">
        <f t="shared" si="47"/>
        <v>393935.79538006079</v>
      </c>
      <c r="T50" s="107">
        <f t="shared" si="47"/>
        <v>401814.51128766208</v>
      </c>
      <c r="U50" s="107">
        <f t="shared" si="47"/>
        <v>409850.8015134153</v>
      </c>
      <c r="V50" s="107">
        <f t="shared" si="47"/>
        <v>418047.81754368363</v>
      </c>
      <c r="W50" s="107">
        <f t="shared" si="47"/>
        <v>426408.77389455721</v>
      </c>
      <c r="X50" s="107">
        <f t="shared" si="47"/>
        <v>434936.94937244843</v>
      </c>
      <c r="Y50" s="107">
        <f t="shared" si="47"/>
        <v>443635.68835989741</v>
      </c>
      <c r="Z50" s="107">
        <f t="shared" si="47"/>
        <v>452508.40212709532</v>
      </c>
      <c r="AA50" s="107">
        <f t="shared" si="47"/>
        <v>461558.57016963721</v>
      </c>
      <c r="AB50" s="107">
        <f t="shared" si="47"/>
        <v>470789.74157303001</v>
      </c>
      <c r="AC50" s="107">
        <f t="shared" si="47"/>
        <v>480205.53640449059</v>
      </c>
      <c r="AD50" s="107">
        <f t="shared" si="47"/>
        <v>489809.6471325804</v>
      </c>
      <c r="AE50" s="107">
        <f t="shared" si="47"/>
        <v>499605.84007523191</v>
      </c>
      <c r="AF50" s="107">
        <f t="shared" si="47"/>
        <v>509597.9568767366</v>
      </c>
      <c r="AG50" s="107">
        <f t="shared" si="47"/>
        <v>519789.91601427132</v>
      </c>
      <c r="AH50" s="107">
        <f t="shared" si="47"/>
        <v>530185.71433455683</v>
      </c>
      <c r="AI50" s="107">
        <f t="shared" si="47"/>
        <v>540789.42862124788</v>
      </c>
      <c r="AJ50" s="107">
        <f t="shared" si="47"/>
        <v>551605.2171936729</v>
      </c>
      <c r="AK50" s="107">
        <f t="shared" si="47"/>
        <v>562637.32153754635</v>
      </c>
    </row>
    <row r="51" spans="2:37">
      <c r="C51" s="102" t="str">
        <f>J20</f>
        <v>Real Estate Taxes</v>
      </c>
      <c r="H51" s="107">
        <f t="shared" si="47"/>
        <v>193772.0048</v>
      </c>
      <c r="I51" s="107">
        <f t="shared" si="47"/>
        <v>197647.444896</v>
      </c>
      <c r="J51" s="107">
        <f t="shared" si="47"/>
        <v>201600.39379392</v>
      </c>
      <c r="K51" s="107">
        <f t="shared" si="47"/>
        <v>205632.40166979839</v>
      </c>
      <c r="L51" s="107">
        <f t="shared" si="47"/>
        <v>209745.04970319435</v>
      </c>
      <c r="M51" s="107">
        <f t="shared" si="47"/>
        <v>213939.95069725826</v>
      </c>
      <c r="N51" s="107">
        <f t="shared" si="47"/>
        <v>218218.74971120342</v>
      </c>
      <c r="O51" s="107">
        <f t="shared" si="47"/>
        <v>222583.12470542744</v>
      </c>
      <c r="P51" s="107">
        <f t="shared" si="47"/>
        <v>227034.78719953602</v>
      </c>
      <c r="Q51" s="107">
        <f t="shared" si="47"/>
        <v>231575.48294352673</v>
      </c>
      <c r="R51" s="107">
        <f t="shared" si="47"/>
        <v>236206.99260239728</v>
      </c>
      <c r="S51" s="107">
        <f t="shared" si="47"/>
        <v>240931.13245444518</v>
      </c>
      <c r="T51" s="107">
        <f t="shared" si="47"/>
        <v>245749.75510353412</v>
      </c>
      <c r="U51" s="107">
        <f t="shared" si="47"/>
        <v>250664.7502056048</v>
      </c>
      <c r="V51" s="107">
        <f t="shared" si="47"/>
        <v>255678.04520971692</v>
      </c>
      <c r="W51" s="107">
        <f t="shared" si="47"/>
        <v>260791.6061139112</v>
      </c>
      <c r="X51" s="107">
        <f t="shared" si="47"/>
        <v>266007.43823618948</v>
      </c>
      <c r="Y51" s="107">
        <f t="shared" si="47"/>
        <v>271327.58700091328</v>
      </c>
      <c r="Z51" s="107">
        <f t="shared" si="47"/>
        <v>276754.13874093152</v>
      </c>
      <c r="AA51" s="107">
        <f t="shared" si="47"/>
        <v>282289.22151575011</v>
      </c>
      <c r="AB51" s="107">
        <f t="shared" si="47"/>
        <v>287935.00594606512</v>
      </c>
      <c r="AC51" s="107">
        <f t="shared" si="47"/>
        <v>293693.70606498641</v>
      </c>
      <c r="AD51" s="107">
        <f t="shared" si="47"/>
        <v>299567.58018628618</v>
      </c>
      <c r="AE51" s="107">
        <f t="shared" si="47"/>
        <v>305558.93179001182</v>
      </c>
      <c r="AF51" s="107">
        <f t="shared" si="47"/>
        <v>311670.11042581208</v>
      </c>
      <c r="AG51" s="107">
        <f t="shared" si="47"/>
        <v>317903.51263432833</v>
      </c>
      <c r="AH51" s="107">
        <f t="shared" si="47"/>
        <v>324261.58288701496</v>
      </c>
      <c r="AI51" s="107">
        <f t="shared" si="47"/>
        <v>330746.81454475515</v>
      </c>
      <c r="AJ51" s="107">
        <f t="shared" si="47"/>
        <v>337361.75083565037</v>
      </c>
      <c r="AK51" s="107">
        <f t="shared" si="47"/>
        <v>344108.98585236329</v>
      </c>
    </row>
    <row r="52" spans="2:37">
      <c r="C52" s="102" t="str">
        <f>J21</f>
        <v>Property Management Fee (% gross revenue)</v>
      </c>
      <c r="H52" s="107">
        <f t="shared" ref="H52:AK52" si="48">H42*$N$21</f>
        <v>145329.0036</v>
      </c>
      <c r="I52" s="107">
        <f t="shared" si="48"/>
        <v>149688.873708</v>
      </c>
      <c r="J52" s="107">
        <f t="shared" si="48"/>
        <v>154179.53991923999</v>
      </c>
      <c r="K52" s="107">
        <f t="shared" si="48"/>
        <v>158804.92611681719</v>
      </c>
      <c r="L52" s="107">
        <f t="shared" si="48"/>
        <v>163569.0739003217</v>
      </c>
      <c r="M52" s="107">
        <f t="shared" si="48"/>
        <v>168476.14611733134</v>
      </c>
      <c r="N52" s="107">
        <f t="shared" si="48"/>
        <v>173530.4305008513</v>
      </c>
      <c r="O52" s="107">
        <f t="shared" si="48"/>
        <v>178736.34341587685</v>
      </c>
      <c r="P52" s="107">
        <f t="shared" si="48"/>
        <v>184098.43371835313</v>
      </c>
      <c r="Q52" s="107">
        <f t="shared" si="48"/>
        <v>189621.38672990372</v>
      </c>
      <c r="R52" s="107">
        <f t="shared" si="48"/>
        <v>195310.02833180083</v>
      </c>
      <c r="S52" s="107">
        <f t="shared" si="48"/>
        <v>201169.32918175487</v>
      </c>
      <c r="T52" s="107">
        <f t="shared" si="48"/>
        <v>207204.40905720746</v>
      </c>
      <c r="U52" s="107">
        <f t="shared" si="48"/>
        <v>213420.54132892369</v>
      </c>
      <c r="V52" s="107">
        <f t="shared" si="48"/>
        <v>219823.15756879144</v>
      </c>
      <c r="W52" s="107">
        <f t="shared" si="48"/>
        <v>226417.85229585521</v>
      </c>
      <c r="X52" s="107">
        <f t="shared" si="48"/>
        <v>233210.38786473082</v>
      </c>
      <c r="Y52" s="107">
        <f t="shared" si="48"/>
        <v>240206.69950067272</v>
      </c>
      <c r="Z52" s="107">
        <f t="shared" si="48"/>
        <v>247412.90048569292</v>
      </c>
      <c r="AA52" s="107">
        <f t="shared" si="48"/>
        <v>254835.28750026372</v>
      </c>
      <c r="AB52" s="107">
        <f t="shared" si="48"/>
        <v>262480.34612527164</v>
      </c>
      <c r="AC52" s="107">
        <f t="shared" si="48"/>
        <v>270354.75650902971</v>
      </c>
      <c r="AD52" s="107">
        <f t="shared" si="48"/>
        <v>278465.3992043006</v>
      </c>
      <c r="AE52" s="107">
        <f t="shared" si="48"/>
        <v>286819.3611804297</v>
      </c>
      <c r="AF52" s="107">
        <f t="shared" si="48"/>
        <v>295423.94201584253</v>
      </c>
      <c r="AG52" s="107">
        <f t="shared" si="48"/>
        <v>304286.66027631779</v>
      </c>
      <c r="AH52" s="107">
        <f t="shared" si="48"/>
        <v>313415.26008460741</v>
      </c>
      <c r="AI52" s="107">
        <f t="shared" si="48"/>
        <v>322817.71788714553</v>
      </c>
      <c r="AJ52" s="107">
        <f t="shared" si="48"/>
        <v>332502.24942375993</v>
      </c>
      <c r="AK52" s="107">
        <f t="shared" si="48"/>
        <v>342477.31690647267</v>
      </c>
    </row>
    <row r="53" spans="2:37">
      <c r="B53" s="111" t="s">
        <v>414</v>
      </c>
      <c r="C53" s="111"/>
      <c r="D53" s="111"/>
      <c r="E53" s="111"/>
      <c r="F53" s="111"/>
      <c r="G53" s="111"/>
      <c r="H53" s="112">
        <f t="shared" ref="H53:R53" si="49">SUM(H48:H52)</f>
        <v>1131171.0083999999</v>
      </c>
      <c r="I53" s="112">
        <f t="shared" si="49"/>
        <v>1155247.7186040001</v>
      </c>
      <c r="J53" s="112">
        <f t="shared" si="49"/>
        <v>1179849.56171316</v>
      </c>
      <c r="K53" s="112">
        <f t="shared" si="49"/>
        <v>1204988.3483466154</v>
      </c>
      <c r="L53" s="112">
        <f t="shared" si="49"/>
        <v>1230676.164574716</v>
      </c>
      <c r="M53" s="112">
        <f t="shared" si="49"/>
        <v>1256925.3786052135</v>
      </c>
      <c r="N53" s="112">
        <f t="shared" si="49"/>
        <v>1283748.6476384914</v>
      </c>
      <c r="O53" s="112">
        <f t="shared" si="49"/>
        <v>1311158.9248962696</v>
      </c>
      <c r="P53" s="112">
        <f t="shared" si="49"/>
        <v>1339169.4668283535</v>
      </c>
      <c r="Q53" s="112">
        <f t="shared" si="49"/>
        <v>1367793.8405021043</v>
      </c>
      <c r="R53" s="112">
        <f t="shared" si="49"/>
        <v>1397045.9311794455</v>
      </c>
      <c r="S53" s="112">
        <f t="shared" ref="S53" si="50">SUM(S48:S52)</f>
        <v>1426939.9500863522</v>
      </c>
      <c r="T53" s="112">
        <f t="shared" ref="T53" si="51">SUM(T48:T52)</f>
        <v>1457490.4423798968</v>
      </c>
      <c r="U53" s="112">
        <f t="shared" ref="U53" si="52">SUM(U48:U52)</f>
        <v>1488712.2953180668</v>
      </c>
      <c r="V53" s="112">
        <f t="shared" ref="V53" si="53">SUM(V48:V52)</f>
        <v>1520620.7466377176</v>
      </c>
      <c r="W53" s="112">
        <f t="shared" ref="W53" si="54">SUM(W48:W52)</f>
        <v>1553231.3931461594</v>
      </c>
      <c r="X53" s="112">
        <f t="shared" ref="X53" si="55">SUM(X48:X52)</f>
        <v>1586560.1995320413</v>
      </c>
      <c r="Y53" s="112">
        <f t="shared" ref="Y53" si="56">SUM(Y48:Y52)</f>
        <v>1620623.5074013295</v>
      </c>
      <c r="Z53" s="112">
        <f t="shared" ref="Z53" si="57">SUM(Z48:Z52)</f>
        <v>1655438.0445443629</v>
      </c>
      <c r="AA53" s="112">
        <f t="shared" ref="AA53" si="58">SUM(AA48:AA52)</f>
        <v>1691020.9344401066</v>
      </c>
      <c r="AB53" s="112">
        <f t="shared" ref="AB53" si="59">SUM(AB48:AB52)</f>
        <v>1727389.7060039118</v>
      </c>
      <c r="AC53" s="112">
        <f t="shared" ref="AC53" si="60">SUM(AC48:AC52)</f>
        <v>1764562.3035852425</v>
      </c>
      <c r="AD53" s="112">
        <f t="shared" ref="AD53" si="61">SUM(AD48:AD52)</f>
        <v>1802557.0972220376</v>
      </c>
      <c r="AE53" s="112">
        <f t="shared" ref="AE53" si="62">SUM(AE48:AE52)</f>
        <v>1841392.8931585215</v>
      </c>
      <c r="AF53" s="112">
        <f t="shared" ref="AF53" si="63">SUM(AF48:AF52)</f>
        <v>1881088.944633496</v>
      </c>
      <c r="AG53" s="112">
        <f t="shared" ref="AG53" si="64">SUM(AG48:AG52)</f>
        <v>1921664.9629463244</v>
      </c>
      <c r="AH53" s="112">
        <f t="shared" ref="AH53" si="65">SUM(AH48:AH52)</f>
        <v>1963141.1288080143</v>
      </c>
      <c r="AI53" s="112">
        <f t="shared" ref="AI53" si="66">SUM(AI48:AI52)</f>
        <v>2005538.1039850204</v>
      </c>
      <c r="AJ53" s="112">
        <f t="shared" ref="AJ53" si="67">SUM(AJ48:AJ52)</f>
        <v>2048877.0432435926</v>
      </c>
      <c r="AK53" s="112">
        <f t="shared" ref="AK53" si="68">SUM(AK48:AK52)</f>
        <v>2093179.6066027016</v>
      </c>
    </row>
    <row r="55" spans="2:37">
      <c r="B55" s="102" t="s">
        <v>524</v>
      </c>
      <c r="H55" s="107">
        <f t="shared" ref="H55:R55" si="69">H45-H53</f>
        <v>3228699.0996000003</v>
      </c>
      <c r="I55" s="107">
        <f t="shared" si="69"/>
        <v>3335418.4926360007</v>
      </c>
      <c r="J55" s="107">
        <f t="shared" si="69"/>
        <v>3445536.6358640399</v>
      </c>
      <c r="K55" s="107">
        <f t="shared" si="69"/>
        <v>3559159.4351579016</v>
      </c>
      <c r="L55" s="107">
        <f t="shared" si="69"/>
        <v>3676396.0524349352</v>
      </c>
      <c r="M55" s="107">
        <f t="shared" si="69"/>
        <v>3797359.0049147275</v>
      </c>
      <c r="N55" s="107">
        <f t="shared" si="69"/>
        <v>3922164.2673870483</v>
      </c>
      <c r="O55" s="107">
        <f t="shared" si="69"/>
        <v>4050931.3775800359</v>
      </c>
      <c r="P55" s="107">
        <f t="shared" si="69"/>
        <v>4183783.5447222404</v>
      </c>
      <c r="Q55" s="107">
        <f t="shared" si="69"/>
        <v>4320847.7613950074</v>
      </c>
      <c r="R55" s="107">
        <f t="shared" si="69"/>
        <v>4462254.9187745806</v>
      </c>
      <c r="S55" s="107">
        <f t="shared" ref="S55:AK55" si="70">S45-S53</f>
        <v>4608139.9253662946</v>
      </c>
      <c r="T55" s="107">
        <f t="shared" si="70"/>
        <v>4758641.8293363284</v>
      </c>
      <c r="U55" s="107">
        <f t="shared" si="70"/>
        <v>4913903.9445496444</v>
      </c>
      <c r="V55" s="107">
        <f t="shared" si="70"/>
        <v>5074073.9804260256</v>
      </c>
      <c r="W55" s="107">
        <f t="shared" si="70"/>
        <v>5239304.1757294973</v>
      </c>
      <c r="X55" s="107">
        <f t="shared" si="70"/>
        <v>5409751.4364098832</v>
      </c>
      <c r="Y55" s="107">
        <f t="shared" si="70"/>
        <v>5585577.4776188526</v>
      </c>
      <c r="Z55" s="107">
        <f t="shared" si="70"/>
        <v>5766948.970026426</v>
      </c>
      <c r="AA55" s="107">
        <f t="shared" si="70"/>
        <v>5954037.6905678045</v>
      </c>
      <c r="AB55" s="107">
        <f t="shared" si="70"/>
        <v>6147020.6777542373</v>
      </c>
      <c r="AC55" s="107">
        <f t="shared" si="70"/>
        <v>6346080.3916856488</v>
      </c>
      <c r="AD55" s="107">
        <f t="shared" si="70"/>
        <v>6551404.8789069811</v>
      </c>
      <c r="AE55" s="107">
        <f t="shared" si="70"/>
        <v>6763187.9422543701</v>
      </c>
      <c r="AF55" s="107">
        <f t="shared" si="70"/>
        <v>6981629.31584178</v>
      </c>
      <c r="AG55" s="107">
        <f t="shared" si="70"/>
        <v>7206934.8453432089</v>
      </c>
      <c r="AH55" s="107">
        <f t="shared" si="70"/>
        <v>7439316.6737302076</v>
      </c>
      <c r="AI55" s="107">
        <f t="shared" si="70"/>
        <v>7678993.432629345</v>
      </c>
      <c r="AJ55" s="107">
        <f t="shared" si="70"/>
        <v>7926190.4394692052</v>
      </c>
      <c r="AK55" s="107">
        <f t="shared" si="70"/>
        <v>8181139.9005914805</v>
      </c>
    </row>
    <row r="57" spans="2:37">
      <c r="B57" s="102" t="s">
        <v>582</v>
      </c>
    </row>
    <row r="58" spans="2:37">
      <c r="C58" s="102" t="s">
        <v>583</v>
      </c>
      <c r="H58" s="107">
        <f>-IF($G$27=10,SUM(H90:R90)*G12,SUM(H90:L90)*$G$12)</f>
        <v>-3722688.3721169927</v>
      </c>
    </row>
    <row r="59" spans="2:37">
      <c r="C59" s="102" t="s">
        <v>584</v>
      </c>
      <c r="H59" s="107">
        <f>-G22*G12</f>
        <v>-2376210</v>
      </c>
    </row>
    <row r="61" spans="2:37">
      <c r="B61" s="102" t="s">
        <v>6</v>
      </c>
      <c r="G61" s="107">
        <f t="shared" ref="G61:R61" ca="1" si="71">IF(G37&lt;=$G$27+1,G40+G55+SUM(G58:G59),0)</f>
        <v>-46431924.37108025</v>
      </c>
      <c r="H61" s="107">
        <f t="shared" si="71"/>
        <v>-2870199.2725169919</v>
      </c>
      <c r="I61" s="107">
        <f t="shared" si="71"/>
        <v>3335418.4926360007</v>
      </c>
      <c r="J61" s="107">
        <f t="shared" si="71"/>
        <v>3445536.6358640399</v>
      </c>
      <c r="K61" s="107">
        <f t="shared" si="71"/>
        <v>3559159.4351579016</v>
      </c>
      <c r="L61" s="107">
        <f t="shared" si="71"/>
        <v>3676396.0524349352</v>
      </c>
      <c r="M61" s="107">
        <f t="shared" si="71"/>
        <v>3797359.0049147275</v>
      </c>
      <c r="N61" s="107">
        <f t="shared" si="71"/>
        <v>3922164.2673870483</v>
      </c>
      <c r="O61" s="107">
        <f t="shared" si="71"/>
        <v>4050931.3775800359</v>
      </c>
      <c r="P61" s="107">
        <f t="shared" si="71"/>
        <v>4183783.5447222404</v>
      </c>
      <c r="Q61" s="107">
        <f t="shared" si="71"/>
        <v>4320847.7613950074</v>
      </c>
      <c r="R61" s="107">
        <f t="shared" si="71"/>
        <v>4462254.9187745806</v>
      </c>
      <c r="S61" s="107">
        <f t="shared" ref="S61:AK61" si="72">IF(S37&lt;=$G$27+1,S40+S55+SUM(S58:S59),0)</f>
        <v>0</v>
      </c>
      <c r="T61" s="107">
        <f t="shared" si="72"/>
        <v>0</v>
      </c>
      <c r="U61" s="107">
        <f t="shared" si="72"/>
        <v>0</v>
      </c>
      <c r="V61" s="107">
        <f t="shared" si="72"/>
        <v>0</v>
      </c>
      <c r="W61" s="107">
        <f t="shared" si="72"/>
        <v>0</v>
      </c>
      <c r="X61" s="107">
        <f t="shared" si="72"/>
        <v>0</v>
      </c>
      <c r="Y61" s="107">
        <f t="shared" si="72"/>
        <v>0</v>
      </c>
      <c r="Z61" s="107">
        <f t="shared" si="72"/>
        <v>0</v>
      </c>
      <c r="AA61" s="107">
        <f t="shared" si="72"/>
        <v>0</v>
      </c>
      <c r="AB61" s="107">
        <f t="shared" si="72"/>
        <v>0</v>
      </c>
      <c r="AC61" s="107">
        <f t="shared" si="72"/>
        <v>0</v>
      </c>
      <c r="AD61" s="107">
        <f t="shared" si="72"/>
        <v>0</v>
      </c>
      <c r="AE61" s="107">
        <f t="shared" si="72"/>
        <v>0</v>
      </c>
      <c r="AF61" s="107">
        <f t="shared" si="72"/>
        <v>0</v>
      </c>
      <c r="AG61" s="107">
        <f t="shared" si="72"/>
        <v>0</v>
      </c>
      <c r="AH61" s="107">
        <f t="shared" si="72"/>
        <v>0</v>
      </c>
      <c r="AI61" s="107">
        <f t="shared" si="72"/>
        <v>0</v>
      </c>
      <c r="AJ61" s="107">
        <f t="shared" si="72"/>
        <v>0</v>
      </c>
      <c r="AK61" s="107">
        <f t="shared" si="72"/>
        <v>0</v>
      </c>
    </row>
    <row r="62" spans="2:37"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</row>
    <row r="63" spans="2:37">
      <c r="B63" s="102" t="s">
        <v>525</v>
      </c>
      <c r="H63" s="107">
        <f t="shared" ref="H63:R63" si="73">IF(H37=$G$27,I61/$G$25,0)</f>
        <v>0</v>
      </c>
      <c r="I63" s="107">
        <f t="shared" si="73"/>
        <v>0</v>
      </c>
      <c r="J63" s="107">
        <f t="shared" si="73"/>
        <v>0</v>
      </c>
      <c r="K63" s="107">
        <f t="shared" si="73"/>
        <v>0</v>
      </c>
      <c r="L63" s="107">
        <f t="shared" si="73"/>
        <v>0</v>
      </c>
      <c r="M63" s="107">
        <f t="shared" si="73"/>
        <v>0</v>
      </c>
      <c r="N63" s="107">
        <f t="shared" si="73"/>
        <v>0</v>
      </c>
      <c r="O63" s="107">
        <f t="shared" si="73"/>
        <v>0</v>
      </c>
      <c r="P63" s="107">
        <f t="shared" si="73"/>
        <v>0</v>
      </c>
      <c r="Q63" s="107">
        <f t="shared" si="73"/>
        <v>89245098.375491604</v>
      </c>
      <c r="R63" s="107">
        <f t="shared" si="73"/>
        <v>0</v>
      </c>
      <c r="S63" s="107">
        <f t="shared" ref="S63:AJ63" si="74">IF(S37=$G$27,T61/$G$25,0)</f>
        <v>0</v>
      </c>
      <c r="T63" s="107">
        <f t="shared" si="74"/>
        <v>0</v>
      </c>
      <c r="U63" s="107">
        <f t="shared" si="74"/>
        <v>0</v>
      </c>
      <c r="V63" s="107">
        <f t="shared" si="74"/>
        <v>0</v>
      </c>
      <c r="W63" s="107">
        <f t="shared" si="74"/>
        <v>0</v>
      </c>
      <c r="X63" s="107">
        <f t="shared" si="74"/>
        <v>0</v>
      </c>
      <c r="Y63" s="107">
        <f t="shared" si="74"/>
        <v>0</v>
      </c>
      <c r="Z63" s="107">
        <f t="shared" si="74"/>
        <v>0</v>
      </c>
      <c r="AA63" s="107">
        <f t="shared" si="74"/>
        <v>0</v>
      </c>
      <c r="AB63" s="107">
        <f t="shared" si="74"/>
        <v>0</v>
      </c>
      <c r="AC63" s="107">
        <f t="shared" si="74"/>
        <v>0</v>
      </c>
      <c r="AD63" s="107">
        <f t="shared" si="74"/>
        <v>0</v>
      </c>
      <c r="AE63" s="107">
        <f t="shared" si="74"/>
        <v>0</v>
      </c>
      <c r="AF63" s="107">
        <f t="shared" si="74"/>
        <v>0</v>
      </c>
      <c r="AG63" s="107">
        <f t="shared" si="74"/>
        <v>0</v>
      </c>
      <c r="AH63" s="107">
        <f t="shared" si="74"/>
        <v>0</v>
      </c>
      <c r="AI63" s="107">
        <f t="shared" si="74"/>
        <v>0</v>
      </c>
      <c r="AJ63" s="107">
        <f t="shared" si="74"/>
        <v>0</v>
      </c>
      <c r="AK63" s="107">
        <f>IF(AK37=$G$27,#REF!/$G$25,0)</f>
        <v>0</v>
      </c>
    </row>
    <row r="64" spans="2:37">
      <c r="B64" s="102" t="s">
        <v>393</v>
      </c>
      <c r="H64" s="107">
        <f>-H63*$G$28</f>
        <v>0</v>
      </c>
      <c r="I64" s="107">
        <f t="shared" ref="I64:R64" si="75">-I63*$G$28</f>
        <v>0</v>
      </c>
      <c r="J64" s="107">
        <f t="shared" si="75"/>
        <v>0</v>
      </c>
      <c r="K64" s="107">
        <f t="shared" si="75"/>
        <v>0</v>
      </c>
      <c r="L64" s="107">
        <f t="shared" si="75"/>
        <v>0</v>
      </c>
      <c r="M64" s="107">
        <f t="shared" si="75"/>
        <v>0</v>
      </c>
      <c r="N64" s="107">
        <f t="shared" si="75"/>
        <v>0</v>
      </c>
      <c r="O64" s="107">
        <f t="shared" si="75"/>
        <v>0</v>
      </c>
      <c r="P64" s="107">
        <f t="shared" si="75"/>
        <v>0</v>
      </c>
      <c r="Q64" s="107">
        <f t="shared" si="75"/>
        <v>0</v>
      </c>
      <c r="R64" s="107">
        <f t="shared" si="75"/>
        <v>0</v>
      </c>
      <c r="S64" s="107">
        <f t="shared" ref="S64:AK64" si="76">-S63*$G$28</f>
        <v>0</v>
      </c>
      <c r="T64" s="107">
        <f t="shared" si="76"/>
        <v>0</v>
      </c>
      <c r="U64" s="107">
        <f t="shared" si="76"/>
        <v>0</v>
      </c>
      <c r="V64" s="107">
        <f t="shared" si="76"/>
        <v>0</v>
      </c>
      <c r="W64" s="107">
        <f t="shared" si="76"/>
        <v>0</v>
      </c>
      <c r="X64" s="107">
        <f t="shared" si="76"/>
        <v>0</v>
      </c>
      <c r="Y64" s="107">
        <f t="shared" si="76"/>
        <v>0</v>
      </c>
      <c r="Z64" s="107">
        <f t="shared" si="76"/>
        <v>0</v>
      </c>
      <c r="AA64" s="107">
        <f t="shared" si="76"/>
        <v>0</v>
      </c>
      <c r="AB64" s="107">
        <f t="shared" si="76"/>
        <v>0</v>
      </c>
      <c r="AC64" s="107">
        <f t="shared" si="76"/>
        <v>0</v>
      </c>
      <c r="AD64" s="107">
        <f t="shared" si="76"/>
        <v>0</v>
      </c>
      <c r="AE64" s="107">
        <f t="shared" si="76"/>
        <v>0</v>
      </c>
      <c r="AF64" s="107">
        <f t="shared" si="76"/>
        <v>0</v>
      </c>
      <c r="AG64" s="107">
        <f t="shared" si="76"/>
        <v>0</v>
      </c>
      <c r="AH64" s="107">
        <f t="shared" si="76"/>
        <v>0</v>
      </c>
      <c r="AI64" s="107">
        <f t="shared" si="76"/>
        <v>0</v>
      </c>
      <c r="AJ64" s="107">
        <f t="shared" si="76"/>
        <v>0</v>
      </c>
      <c r="AK64" s="107">
        <f t="shared" si="76"/>
        <v>0</v>
      </c>
    </row>
    <row r="65" spans="2:37">
      <c r="B65" s="111" t="s">
        <v>526</v>
      </c>
      <c r="C65" s="111"/>
      <c r="D65" s="111"/>
      <c r="E65" s="111"/>
      <c r="F65" s="111"/>
      <c r="G65" s="112">
        <f ca="1">SUM(G61:G64)</f>
        <v>-46431924.37108025</v>
      </c>
      <c r="H65" s="112">
        <f t="shared" ref="H65:R65" si="77">SUM(H61:H64)</f>
        <v>-2870199.2725169919</v>
      </c>
      <c r="I65" s="112">
        <f t="shared" si="77"/>
        <v>3335418.4926360007</v>
      </c>
      <c r="J65" s="112">
        <f t="shared" si="77"/>
        <v>3445536.6358640399</v>
      </c>
      <c r="K65" s="112">
        <f t="shared" si="77"/>
        <v>3559159.4351579016</v>
      </c>
      <c r="L65" s="112">
        <f t="shared" si="77"/>
        <v>3676396.0524349352</v>
      </c>
      <c r="M65" s="112">
        <f t="shared" si="77"/>
        <v>3797359.0049147275</v>
      </c>
      <c r="N65" s="112">
        <f t="shared" si="77"/>
        <v>3922164.2673870483</v>
      </c>
      <c r="O65" s="112">
        <f t="shared" si="77"/>
        <v>4050931.3775800359</v>
      </c>
      <c r="P65" s="112">
        <f t="shared" si="77"/>
        <v>4183783.5447222404</v>
      </c>
      <c r="Q65" s="112">
        <f t="shared" si="77"/>
        <v>93565946.136886612</v>
      </c>
      <c r="R65" s="112">
        <f t="shared" si="77"/>
        <v>4462254.9187745806</v>
      </c>
      <c r="S65" s="112">
        <f t="shared" ref="S65:AK65" si="78">SUM(S61:S64)</f>
        <v>0</v>
      </c>
      <c r="T65" s="112">
        <f t="shared" si="78"/>
        <v>0</v>
      </c>
      <c r="U65" s="112">
        <f t="shared" si="78"/>
        <v>0</v>
      </c>
      <c r="V65" s="112">
        <f t="shared" si="78"/>
        <v>0</v>
      </c>
      <c r="W65" s="112">
        <f t="shared" si="78"/>
        <v>0</v>
      </c>
      <c r="X65" s="112">
        <f t="shared" si="78"/>
        <v>0</v>
      </c>
      <c r="Y65" s="112">
        <f t="shared" si="78"/>
        <v>0</v>
      </c>
      <c r="Z65" s="112">
        <f t="shared" si="78"/>
        <v>0</v>
      </c>
      <c r="AA65" s="112">
        <f t="shared" si="78"/>
        <v>0</v>
      </c>
      <c r="AB65" s="112">
        <f t="shared" si="78"/>
        <v>0</v>
      </c>
      <c r="AC65" s="112">
        <f t="shared" si="78"/>
        <v>0</v>
      </c>
      <c r="AD65" s="112">
        <f t="shared" si="78"/>
        <v>0</v>
      </c>
      <c r="AE65" s="112">
        <f t="shared" si="78"/>
        <v>0</v>
      </c>
      <c r="AF65" s="112">
        <f t="shared" si="78"/>
        <v>0</v>
      </c>
      <c r="AG65" s="112">
        <f t="shared" si="78"/>
        <v>0</v>
      </c>
      <c r="AH65" s="112">
        <f t="shared" si="78"/>
        <v>0</v>
      </c>
      <c r="AI65" s="112">
        <f t="shared" si="78"/>
        <v>0</v>
      </c>
      <c r="AJ65" s="112">
        <f t="shared" si="78"/>
        <v>0</v>
      </c>
      <c r="AK65" s="112">
        <f t="shared" si="78"/>
        <v>0</v>
      </c>
    </row>
    <row r="66" spans="2:37" ht="15" thickBot="1"/>
    <row r="67" spans="2:37">
      <c r="B67" s="122" t="s">
        <v>527</v>
      </c>
      <c r="C67" s="123"/>
      <c r="D67" s="123"/>
      <c r="E67" s="123"/>
      <c r="F67" s="123"/>
      <c r="G67" s="124">
        <f ca="1">SUM(G65:R65)</f>
        <v>78696826.222760871</v>
      </c>
    </row>
    <row r="68" spans="2:37">
      <c r="B68" s="125" t="s">
        <v>528</v>
      </c>
      <c r="G68" s="126">
        <f>NPV($R$21,H65:R65)</f>
        <v>62271324.385671727</v>
      </c>
    </row>
    <row r="69" spans="2:37">
      <c r="B69" s="125" t="s">
        <v>529</v>
      </c>
      <c r="G69" s="126">
        <f ca="1">G68+G65</f>
        <v>15839400.014591478</v>
      </c>
    </row>
    <row r="70" spans="2:37">
      <c r="B70" s="125" t="s">
        <v>530</v>
      </c>
      <c r="G70" s="127">
        <f ca="1">IRR(G65:R65)</f>
        <v>0.11642470453902098</v>
      </c>
    </row>
    <row r="71" spans="2:37" ht="15" thickBot="1">
      <c r="B71" s="128" t="s">
        <v>531</v>
      </c>
      <c r="C71" s="129"/>
      <c r="D71" s="129"/>
      <c r="E71" s="129"/>
      <c r="F71" s="129"/>
      <c r="G71" s="130">
        <f ca="1">(G67/-G65)+1</f>
        <v>2.6948861648253493</v>
      </c>
    </row>
    <row r="73" spans="2:37">
      <c r="B73" s="102" t="s">
        <v>532</v>
      </c>
      <c r="G73" s="107">
        <f ca="1">G34</f>
        <v>32502347.059756171</v>
      </c>
    </row>
    <row r="74" spans="2:37">
      <c r="B74" s="102" t="s">
        <v>533</v>
      </c>
      <c r="H74" s="107">
        <f t="shared" ref="H74:R74" si="79">IF(H37=$G$27,FV($G$32/12,H37*12,$G$35,$G$34),0)</f>
        <v>0</v>
      </c>
      <c r="I74" s="107">
        <f t="shared" si="79"/>
        <v>0</v>
      </c>
      <c r="J74" s="107">
        <f t="shared" si="79"/>
        <v>0</v>
      </c>
      <c r="K74" s="107">
        <f t="shared" si="79"/>
        <v>0</v>
      </c>
      <c r="L74" s="107">
        <f t="shared" si="79"/>
        <v>0</v>
      </c>
      <c r="M74" s="107">
        <f t="shared" si="79"/>
        <v>0</v>
      </c>
      <c r="N74" s="107">
        <f t="shared" si="79"/>
        <v>0</v>
      </c>
      <c r="O74" s="107">
        <f t="shared" si="79"/>
        <v>0</v>
      </c>
      <c r="P74" s="107">
        <f t="shared" si="79"/>
        <v>0</v>
      </c>
      <c r="Q74" s="107">
        <f t="shared" ca="1" si="79"/>
        <v>-26438080.106754106</v>
      </c>
      <c r="R74" s="107">
        <f t="shared" si="79"/>
        <v>0</v>
      </c>
      <c r="S74" s="107">
        <f t="shared" ref="S74:AK74" si="80">IF(S37=$G$27,FV($G$32/12,S37*12,$G$35,$G$34),0)</f>
        <v>0</v>
      </c>
      <c r="T74" s="107">
        <f t="shared" si="80"/>
        <v>0</v>
      </c>
      <c r="U74" s="107">
        <f t="shared" si="80"/>
        <v>0</v>
      </c>
      <c r="V74" s="107">
        <f t="shared" si="80"/>
        <v>0</v>
      </c>
      <c r="W74" s="107">
        <f t="shared" si="80"/>
        <v>0</v>
      </c>
      <c r="X74" s="107">
        <f t="shared" si="80"/>
        <v>0</v>
      </c>
      <c r="Y74" s="107">
        <f t="shared" si="80"/>
        <v>0</v>
      </c>
      <c r="Z74" s="107">
        <f t="shared" si="80"/>
        <v>0</v>
      </c>
      <c r="AA74" s="107">
        <f t="shared" si="80"/>
        <v>0</v>
      </c>
      <c r="AB74" s="107">
        <f t="shared" si="80"/>
        <v>0</v>
      </c>
      <c r="AC74" s="107">
        <f t="shared" si="80"/>
        <v>0</v>
      </c>
      <c r="AD74" s="107">
        <f t="shared" si="80"/>
        <v>0</v>
      </c>
      <c r="AE74" s="107">
        <f t="shared" si="80"/>
        <v>0</v>
      </c>
      <c r="AF74" s="107">
        <f t="shared" si="80"/>
        <v>0</v>
      </c>
      <c r="AG74" s="107">
        <f t="shared" si="80"/>
        <v>0</v>
      </c>
      <c r="AH74" s="107">
        <f t="shared" si="80"/>
        <v>0</v>
      </c>
      <c r="AI74" s="107">
        <f t="shared" si="80"/>
        <v>0</v>
      </c>
      <c r="AJ74" s="107">
        <f t="shared" si="80"/>
        <v>0</v>
      </c>
      <c r="AK74" s="107">
        <f t="shared" si="80"/>
        <v>0</v>
      </c>
    </row>
    <row r="75" spans="2:37">
      <c r="B75" s="102" t="s">
        <v>534</v>
      </c>
      <c r="H75" s="107">
        <f ca="1">IF(H37&lt;=$G$27,$G$35*12,0)</f>
        <v>-2093755.5240386561</v>
      </c>
      <c r="I75" s="107">
        <f t="shared" ref="I75:R75" ca="1" si="81">IF(I37&lt;=$G$27,$G$35*12,0)</f>
        <v>-2093755.5240386561</v>
      </c>
      <c r="J75" s="107">
        <f t="shared" ca="1" si="81"/>
        <v>-2093755.5240386561</v>
      </c>
      <c r="K75" s="107">
        <f t="shared" ca="1" si="81"/>
        <v>-2093755.5240386561</v>
      </c>
      <c r="L75" s="107">
        <f t="shared" ca="1" si="81"/>
        <v>-2093755.5240386561</v>
      </c>
      <c r="M75" s="107">
        <f t="shared" ca="1" si="81"/>
        <v>-2093755.5240386561</v>
      </c>
      <c r="N75" s="107">
        <f t="shared" ca="1" si="81"/>
        <v>-2093755.5240386561</v>
      </c>
      <c r="O75" s="107">
        <f t="shared" ca="1" si="81"/>
        <v>-2093755.5240386561</v>
      </c>
      <c r="P75" s="107">
        <f t="shared" ca="1" si="81"/>
        <v>-2093755.5240386561</v>
      </c>
      <c r="Q75" s="107">
        <f t="shared" ca="1" si="81"/>
        <v>-2093755.5240386561</v>
      </c>
      <c r="R75" s="107">
        <f t="shared" si="81"/>
        <v>0</v>
      </c>
      <c r="S75" s="107">
        <f t="shared" ref="S75:AK75" si="82">IF(S37&lt;=$G$27,$G$35*12,0)</f>
        <v>0</v>
      </c>
      <c r="T75" s="107">
        <f t="shared" si="82"/>
        <v>0</v>
      </c>
      <c r="U75" s="107">
        <f t="shared" si="82"/>
        <v>0</v>
      </c>
      <c r="V75" s="107">
        <f t="shared" si="82"/>
        <v>0</v>
      </c>
      <c r="W75" s="107">
        <f t="shared" si="82"/>
        <v>0</v>
      </c>
      <c r="X75" s="107">
        <f t="shared" si="82"/>
        <v>0</v>
      </c>
      <c r="Y75" s="107">
        <f t="shared" si="82"/>
        <v>0</v>
      </c>
      <c r="Z75" s="107">
        <f t="shared" si="82"/>
        <v>0</v>
      </c>
      <c r="AA75" s="107">
        <f t="shared" si="82"/>
        <v>0</v>
      </c>
      <c r="AB75" s="107">
        <f t="shared" si="82"/>
        <v>0</v>
      </c>
      <c r="AC75" s="107">
        <f t="shared" si="82"/>
        <v>0</v>
      </c>
      <c r="AD75" s="107">
        <f t="shared" si="82"/>
        <v>0</v>
      </c>
      <c r="AE75" s="107">
        <f t="shared" si="82"/>
        <v>0</v>
      </c>
      <c r="AF75" s="107">
        <f t="shared" si="82"/>
        <v>0</v>
      </c>
      <c r="AG75" s="107">
        <f t="shared" si="82"/>
        <v>0</v>
      </c>
      <c r="AH75" s="107">
        <f t="shared" si="82"/>
        <v>0</v>
      </c>
      <c r="AI75" s="107">
        <f t="shared" si="82"/>
        <v>0</v>
      </c>
      <c r="AJ75" s="107">
        <f t="shared" si="82"/>
        <v>0</v>
      </c>
      <c r="AK75" s="107">
        <f t="shared" si="82"/>
        <v>0</v>
      </c>
    </row>
    <row r="77" spans="2:37">
      <c r="B77" s="102" t="s">
        <v>535</v>
      </c>
      <c r="G77" s="107">
        <f t="shared" ref="G77:R77" ca="1" si="83">IF(G37&lt;=$G$27,SUM(G65,G73:G75),0)</f>
        <v>-13929577.311324079</v>
      </c>
      <c r="H77" s="107">
        <f t="shared" ca="1" si="83"/>
        <v>-4963954.7965556476</v>
      </c>
      <c r="I77" s="107">
        <f t="shared" ca="1" si="83"/>
        <v>1241662.9685973446</v>
      </c>
      <c r="J77" s="107">
        <f t="shared" ca="1" si="83"/>
        <v>1351781.1118253837</v>
      </c>
      <c r="K77" s="107">
        <f t="shared" ca="1" si="83"/>
        <v>1465403.9111192455</v>
      </c>
      <c r="L77" s="107">
        <f t="shared" ca="1" si="83"/>
        <v>1582640.5283962791</v>
      </c>
      <c r="M77" s="107">
        <f t="shared" ca="1" si="83"/>
        <v>1703603.4808760714</v>
      </c>
      <c r="N77" s="107">
        <f t="shared" ca="1" si="83"/>
        <v>1828408.7433483922</v>
      </c>
      <c r="O77" s="107">
        <f t="shared" ca="1" si="83"/>
        <v>1957175.8535413798</v>
      </c>
      <c r="P77" s="107">
        <f t="shared" ca="1" si="83"/>
        <v>2090028.0206835843</v>
      </c>
      <c r="Q77" s="107">
        <f t="shared" ca="1" si="83"/>
        <v>65034110.506093845</v>
      </c>
      <c r="R77" s="107">
        <f t="shared" si="83"/>
        <v>0</v>
      </c>
      <c r="S77" s="107">
        <f t="shared" ref="S77:AK77" si="84">IF(S37&lt;=$G$27,SUM(S65,S73:S75),0)</f>
        <v>0</v>
      </c>
      <c r="T77" s="107">
        <f t="shared" si="84"/>
        <v>0</v>
      </c>
      <c r="U77" s="107">
        <f t="shared" si="84"/>
        <v>0</v>
      </c>
      <c r="V77" s="107">
        <f t="shared" si="84"/>
        <v>0</v>
      </c>
      <c r="W77" s="107">
        <f t="shared" si="84"/>
        <v>0</v>
      </c>
      <c r="X77" s="107">
        <f t="shared" si="84"/>
        <v>0</v>
      </c>
      <c r="Y77" s="107">
        <f t="shared" si="84"/>
        <v>0</v>
      </c>
      <c r="Z77" s="107">
        <f t="shared" si="84"/>
        <v>0</v>
      </c>
      <c r="AA77" s="107">
        <f t="shared" si="84"/>
        <v>0</v>
      </c>
      <c r="AB77" s="107">
        <f t="shared" si="84"/>
        <v>0</v>
      </c>
      <c r="AC77" s="107">
        <f t="shared" si="84"/>
        <v>0</v>
      </c>
      <c r="AD77" s="107">
        <f t="shared" si="84"/>
        <v>0</v>
      </c>
      <c r="AE77" s="107">
        <f t="shared" si="84"/>
        <v>0</v>
      </c>
      <c r="AF77" s="107">
        <f t="shared" si="84"/>
        <v>0</v>
      </c>
      <c r="AG77" s="107">
        <f t="shared" si="84"/>
        <v>0</v>
      </c>
      <c r="AH77" s="107">
        <f t="shared" si="84"/>
        <v>0</v>
      </c>
      <c r="AI77" s="107">
        <f t="shared" si="84"/>
        <v>0</v>
      </c>
      <c r="AJ77" s="107">
        <f t="shared" si="84"/>
        <v>0</v>
      </c>
      <c r="AK77" s="107">
        <f t="shared" si="84"/>
        <v>0</v>
      </c>
    </row>
    <row r="78" spans="2:37" ht="15" thickBot="1"/>
    <row r="79" spans="2:37">
      <c r="B79" s="122" t="s">
        <v>527</v>
      </c>
      <c r="C79" s="123"/>
      <c r="D79" s="123"/>
      <c r="E79" s="123"/>
      <c r="F79" s="123"/>
      <c r="G79" s="124">
        <f ca="1">SUM(G77:R77)</f>
        <v>59361283.016601801</v>
      </c>
    </row>
    <row r="80" spans="2:37">
      <c r="B80" s="125" t="s">
        <v>528</v>
      </c>
      <c r="G80" s="126">
        <f ca="1">NPV($R$21,H77:R77)</f>
        <v>34062323.198321678</v>
      </c>
    </row>
    <row r="81" spans="1:37">
      <c r="B81" s="125" t="s">
        <v>529</v>
      </c>
      <c r="G81" s="126">
        <f ca="1">G80+G77</f>
        <v>20132745.886997599</v>
      </c>
    </row>
    <row r="82" spans="1:37">
      <c r="B82" s="125" t="s">
        <v>536</v>
      </c>
      <c r="G82" s="131">
        <f ca="1">IRR(G77:R77)</f>
        <v>0.17721282869209087</v>
      </c>
    </row>
    <row r="83" spans="1:37" ht="15" thickBot="1">
      <c r="B83" s="128" t="s">
        <v>531</v>
      </c>
      <c r="C83" s="129"/>
      <c r="D83" s="129"/>
      <c r="E83" s="129"/>
      <c r="F83" s="129"/>
      <c r="G83" s="130">
        <f ca="1">(G79/-G77)+1</f>
        <v>5.2615279480407438</v>
      </c>
    </row>
    <row r="85" spans="1:37" s="104" customFormat="1">
      <c r="A85" s="132" t="s">
        <v>472</v>
      </c>
      <c r="B85" s="104" t="s">
        <v>585</v>
      </c>
      <c r="H85" s="119">
        <f t="shared" ref="H85:R85" si="85">H37</f>
        <v>1</v>
      </c>
      <c r="I85" s="119">
        <f t="shared" si="85"/>
        <v>2</v>
      </c>
      <c r="J85" s="119">
        <f t="shared" si="85"/>
        <v>3</v>
      </c>
      <c r="K85" s="119">
        <f t="shared" si="85"/>
        <v>4</v>
      </c>
      <c r="L85" s="119">
        <f t="shared" si="85"/>
        <v>5</v>
      </c>
      <c r="M85" s="119">
        <f t="shared" si="85"/>
        <v>6</v>
      </c>
      <c r="N85" s="119">
        <f t="shared" si="85"/>
        <v>7</v>
      </c>
      <c r="O85" s="119">
        <f t="shared" si="85"/>
        <v>8</v>
      </c>
      <c r="P85" s="119">
        <f t="shared" si="85"/>
        <v>9</v>
      </c>
      <c r="Q85" s="119">
        <f t="shared" si="85"/>
        <v>10</v>
      </c>
      <c r="R85" s="119">
        <f t="shared" si="85"/>
        <v>11</v>
      </c>
      <c r="S85" s="119">
        <f t="shared" ref="S85:AK85" si="86">S37</f>
        <v>12</v>
      </c>
      <c r="T85" s="119">
        <f t="shared" si="86"/>
        <v>13</v>
      </c>
      <c r="U85" s="119">
        <f t="shared" si="86"/>
        <v>14</v>
      </c>
      <c r="V85" s="119">
        <f t="shared" si="86"/>
        <v>15</v>
      </c>
      <c r="W85" s="119">
        <f t="shared" si="86"/>
        <v>16</v>
      </c>
      <c r="X85" s="119">
        <f t="shared" si="86"/>
        <v>17</v>
      </c>
      <c r="Y85" s="119">
        <f t="shared" si="86"/>
        <v>18</v>
      </c>
      <c r="Z85" s="119">
        <f t="shared" si="86"/>
        <v>19</v>
      </c>
      <c r="AA85" s="119">
        <f t="shared" si="86"/>
        <v>20</v>
      </c>
      <c r="AB85" s="119">
        <f t="shared" si="86"/>
        <v>21</v>
      </c>
      <c r="AC85" s="119">
        <f t="shared" si="86"/>
        <v>22</v>
      </c>
      <c r="AD85" s="119">
        <f t="shared" si="86"/>
        <v>23</v>
      </c>
      <c r="AE85" s="119">
        <f t="shared" si="86"/>
        <v>24</v>
      </c>
      <c r="AF85" s="119">
        <f t="shared" si="86"/>
        <v>25</v>
      </c>
      <c r="AG85" s="119">
        <f t="shared" si="86"/>
        <v>26</v>
      </c>
      <c r="AH85" s="119">
        <f t="shared" si="86"/>
        <v>27</v>
      </c>
      <c r="AI85" s="119">
        <f t="shared" si="86"/>
        <v>28</v>
      </c>
      <c r="AJ85" s="119">
        <f t="shared" si="86"/>
        <v>29</v>
      </c>
      <c r="AK85" s="119">
        <f t="shared" si="86"/>
        <v>30</v>
      </c>
    </row>
    <row r="86" spans="1:37">
      <c r="B86" s="102" t="s">
        <v>586</v>
      </c>
      <c r="H86" s="108">
        <f t="shared" ref="H86:R86" si="87">H42/$G$12</f>
        <v>30.580000000000002</v>
      </c>
      <c r="I86" s="108">
        <f t="shared" si="87"/>
        <v>31.497400000000003</v>
      </c>
      <c r="J86" s="108">
        <f t="shared" si="87"/>
        <v>32.442321999999997</v>
      </c>
      <c r="K86" s="108">
        <f t="shared" si="87"/>
        <v>33.415591660000004</v>
      </c>
      <c r="L86" s="108">
        <f t="shared" si="87"/>
        <v>34.418059409800001</v>
      </c>
      <c r="M86" s="108">
        <f t="shared" si="87"/>
        <v>35.450601192093998</v>
      </c>
      <c r="N86" s="108">
        <f t="shared" si="87"/>
        <v>36.514119227856817</v>
      </c>
      <c r="O86" s="108">
        <f t="shared" si="87"/>
        <v>37.609542804692531</v>
      </c>
      <c r="P86" s="108">
        <f t="shared" si="87"/>
        <v>38.737829088833294</v>
      </c>
      <c r="Q86" s="108">
        <f t="shared" si="87"/>
        <v>39.899963961498301</v>
      </c>
      <c r="R86" s="108">
        <f t="shared" si="87"/>
        <v>41.096962880343249</v>
      </c>
      <c r="S86" s="108">
        <f t="shared" ref="S86:AK86" si="88">S42/$G$12</f>
        <v>42.329871766753548</v>
      </c>
      <c r="T86" s="108">
        <f t="shared" si="88"/>
        <v>43.59976791975614</v>
      </c>
      <c r="U86" s="108">
        <f t="shared" si="88"/>
        <v>44.907760957348827</v>
      </c>
      <c r="V86" s="108">
        <f t="shared" si="88"/>
        <v>46.254993786069299</v>
      </c>
      <c r="W86" s="108">
        <f t="shared" si="88"/>
        <v>47.642643599651379</v>
      </c>
      <c r="X86" s="108">
        <f t="shared" si="88"/>
        <v>49.071922907640911</v>
      </c>
      <c r="Y86" s="108">
        <f t="shared" si="88"/>
        <v>50.544080594870138</v>
      </c>
      <c r="Z86" s="108">
        <f t="shared" si="88"/>
        <v>52.060403012716243</v>
      </c>
      <c r="AA86" s="108">
        <f t="shared" si="88"/>
        <v>53.62221510309773</v>
      </c>
      <c r="AB86" s="108">
        <f t="shared" si="88"/>
        <v>55.230881556190667</v>
      </c>
      <c r="AC86" s="108">
        <f t="shared" si="88"/>
        <v>56.887808002876369</v>
      </c>
      <c r="AD86" s="108">
        <f t="shared" si="88"/>
        <v>58.594442242962664</v>
      </c>
      <c r="AE86" s="108">
        <f t="shared" si="88"/>
        <v>60.352275510251559</v>
      </c>
      <c r="AF86" s="108">
        <f t="shared" si="88"/>
        <v>62.162843775559097</v>
      </c>
      <c r="AG86" s="108">
        <f t="shared" si="88"/>
        <v>64.027729088825865</v>
      </c>
      <c r="AH86" s="108">
        <f t="shared" si="88"/>
        <v>65.948560961490656</v>
      </c>
      <c r="AI86" s="108">
        <f t="shared" si="88"/>
        <v>67.927017790335356</v>
      </c>
      <c r="AJ86" s="108">
        <f t="shared" si="88"/>
        <v>69.964828324045413</v>
      </c>
      <c r="AK86" s="108">
        <f t="shared" si="88"/>
        <v>72.063773173766776</v>
      </c>
    </row>
    <row r="87" spans="1:37">
      <c r="B87" s="102" t="s">
        <v>573</v>
      </c>
      <c r="H87" s="108">
        <f t="shared" ref="H87:R87" si="89">H44/$G$12</f>
        <v>0</v>
      </c>
      <c r="I87" s="108">
        <f t="shared" si="89"/>
        <v>0</v>
      </c>
      <c r="J87" s="108">
        <f t="shared" si="89"/>
        <v>0</v>
      </c>
      <c r="K87" s="108">
        <f t="shared" si="89"/>
        <v>0</v>
      </c>
      <c r="L87" s="108">
        <f t="shared" si="89"/>
        <v>0</v>
      </c>
      <c r="M87" s="108">
        <f t="shared" si="89"/>
        <v>0</v>
      </c>
      <c r="N87" s="108">
        <f t="shared" si="89"/>
        <v>0</v>
      </c>
      <c r="O87" s="108">
        <f t="shared" si="89"/>
        <v>0</v>
      </c>
      <c r="P87" s="108">
        <f t="shared" si="89"/>
        <v>0</v>
      </c>
      <c r="Q87" s="108">
        <f t="shared" si="89"/>
        <v>0</v>
      </c>
      <c r="R87" s="108">
        <f t="shared" si="89"/>
        <v>0</v>
      </c>
      <c r="S87" s="108">
        <f t="shared" ref="S87:AK87" si="90">S44/$G$12</f>
        <v>0</v>
      </c>
      <c r="T87" s="108">
        <f t="shared" si="90"/>
        <v>0</v>
      </c>
      <c r="U87" s="108">
        <f t="shared" si="90"/>
        <v>0</v>
      </c>
      <c r="V87" s="108">
        <f t="shared" si="90"/>
        <v>0</v>
      </c>
      <c r="W87" s="108">
        <f t="shared" si="90"/>
        <v>0</v>
      </c>
      <c r="X87" s="108">
        <f t="shared" si="90"/>
        <v>0</v>
      </c>
      <c r="Y87" s="108">
        <f t="shared" si="90"/>
        <v>0</v>
      </c>
      <c r="Z87" s="108">
        <f t="shared" si="90"/>
        <v>0</v>
      </c>
      <c r="AA87" s="108">
        <f t="shared" si="90"/>
        <v>0</v>
      </c>
      <c r="AB87" s="108">
        <f t="shared" si="90"/>
        <v>0</v>
      </c>
      <c r="AC87" s="108">
        <f t="shared" si="90"/>
        <v>0</v>
      </c>
      <c r="AD87" s="108">
        <f t="shared" si="90"/>
        <v>0</v>
      </c>
      <c r="AE87" s="108">
        <f t="shared" si="90"/>
        <v>0</v>
      </c>
      <c r="AF87" s="108">
        <f t="shared" si="90"/>
        <v>0</v>
      </c>
      <c r="AG87" s="108">
        <f t="shared" si="90"/>
        <v>0</v>
      </c>
      <c r="AH87" s="108">
        <f t="shared" si="90"/>
        <v>0</v>
      </c>
      <c r="AI87" s="108">
        <f t="shared" si="90"/>
        <v>0</v>
      </c>
      <c r="AJ87" s="108">
        <f t="shared" si="90"/>
        <v>0</v>
      </c>
      <c r="AK87" s="108">
        <f t="shared" si="90"/>
        <v>0</v>
      </c>
    </row>
    <row r="88" spans="1:37">
      <c r="B88" s="102" t="s">
        <v>16</v>
      </c>
      <c r="H88" s="108">
        <f>H86-H87</f>
        <v>30.580000000000002</v>
      </c>
      <c r="I88" s="108">
        <f t="shared" ref="I88:R88" si="91">I86-I87</f>
        <v>31.497400000000003</v>
      </c>
      <c r="J88" s="108">
        <f t="shared" si="91"/>
        <v>32.442321999999997</v>
      </c>
      <c r="K88" s="108">
        <f t="shared" si="91"/>
        <v>33.415591660000004</v>
      </c>
      <c r="L88" s="108">
        <f t="shared" si="91"/>
        <v>34.418059409800001</v>
      </c>
      <c r="M88" s="108">
        <f t="shared" si="91"/>
        <v>35.450601192093998</v>
      </c>
      <c r="N88" s="108">
        <f t="shared" si="91"/>
        <v>36.514119227856817</v>
      </c>
      <c r="O88" s="108">
        <f t="shared" si="91"/>
        <v>37.609542804692531</v>
      </c>
      <c r="P88" s="108">
        <f t="shared" si="91"/>
        <v>38.737829088833294</v>
      </c>
      <c r="Q88" s="108">
        <f t="shared" si="91"/>
        <v>39.899963961498301</v>
      </c>
      <c r="R88" s="108">
        <f t="shared" si="91"/>
        <v>41.096962880343249</v>
      </c>
      <c r="S88" s="108">
        <f t="shared" ref="S88:AK88" si="92">S86-S87</f>
        <v>42.329871766753548</v>
      </c>
      <c r="T88" s="108">
        <f t="shared" si="92"/>
        <v>43.59976791975614</v>
      </c>
      <c r="U88" s="108">
        <f t="shared" si="92"/>
        <v>44.907760957348827</v>
      </c>
      <c r="V88" s="108">
        <f t="shared" si="92"/>
        <v>46.254993786069299</v>
      </c>
      <c r="W88" s="108">
        <f t="shared" si="92"/>
        <v>47.642643599651379</v>
      </c>
      <c r="X88" s="108">
        <f t="shared" si="92"/>
        <v>49.071922907640911</v>
      </c>
      <c r="Y88" s="108">
        <f t="shared" si="92"/>
        <v>50.544080594870138</v>
      </c>
      <c r="Z88" s="108">
        <f t="shared" si="92"/>
        <v>52.060403012716243</v>
      </c>
      <c r="AA88" s="108">
        <f t="shared" si="92"/>
        <v>53.62221510309773</v>
      </c>
      <c r="AB88" s="108">
        <f t="shared" si="92"/>
        <v>55.230881556190667</v>
      </c>
      <c r="AC88" s="108">
        <f t="shared" si="92"/>
        <v>56.887808002876369</v>
      </c>
      <c r="AD88" s="108">
        <f t="shared" si="92"/>
        <v>58.594442242962664</v>
      </c>
      <c r="AE88" s="108">
        <f t="shared" si="92"/>
        <v>60.352275510251559</v>
      </c>
      <c r="AF88" s="108">
        <f t="shared" si="92"/>
        <v>62.162843775559097</v>
      </c>
      <c r="AG88" s="108">
        <f t="shared" si="92"/>
        <v>64.027729088825865</v>
      </c>
      <c r="AH88" s="108">
        <f t="shared" si="92"/>
        <v>65.948560961490656</v>
      </c>
      <c r="AI88" s="108">
        <f t="shared" si="92"/>
        <v>67.927017790335356</v>
      </c>
      <c r="AJ88" s="108">
        <f t="shared" si="92"/>
        <v>69.964828324045413</v>
      </c>
      <c r="AK88" s="108">
        <f t="shared" si="92"/>
        <v>72.063773173766776</v>
      </c>
    </row>
    <row r="89" spans="1:37">
      <c r="B89" s="102" t="s">
        <v>587</v>
      </c>
      <c r="H89" s="120">
        <f>$G$23</f>
        <v>0.06</v>
      </c>
      <c r="I89" s="120">
        <f t="shared" ref="I89:AK89" si="93">$G$23</f>
        <v>0.06</v>
      </c>
      <c r="J89" s="120">
        <f t="shared" si="93"/>
        <v>0.06</v>
      </c>
      <c r="K89" s="120">
        <f t="shared" si="93"/>
        <v>0.06</v>
      </c>
      <c r="L89" s="120">
        <f t="shared" si="93"/>
        <v>0.06</v>
      </c>
      <c r="M89" s="120">
        <f t="shared" si="93"/>
        <v>0.06</v>
      </c>
      <c r="N89" s="120">
        <f t="shared" si="93"/>
        <v>0.06</v>
      </c>
      <c r="O89" s="120">
        <f t="shared" si="93"/>
        <v>0.06</v>
      </c>
      <c r="P89" s="120">
        <f t="shared" si="93"/>
        <v>0.06</v>
      </c>
      <c r="Q89" s="120">
        <f t="shared" si="93"/>
        <v>0.06</v>
      </c>
      <c r="R89" s="120">
        <f t="shared" si="93"/>
        <v>0.06</v>
      </c>
      <c r="S89" s="120">
        <f t="shared" si="93"/>
        <v>0.06</v>
      </c>
      <c r="T89" s="120">
        <f t="shared" si="93"/>
        <v>0.06</v>
      </c>
      <c r="U89" s="120">
        <f t="shared" si="93"/>
        <v>0.06</v>
      </c>
      <c r="V89" s="120">
        <f t="shared" si="93"/>
        <v>0.06</v>
      </c>
      <c r="W89" s="120">
        <f t="shared" si="93"/>
        <v>0.06</v>
      </c>
      <c r="X89" s="120">
        <f t="shared" si="93"/>
        <v>0.06</v>
      </c>
      <c r="Y89" s="120">
        <f t="shared" si="93"/>
        <v>0.06</v>
      </c>
      <c r="Z89" s="120">
        <f t="shared" si="93"/>
        <v>0.06</v>
      </c>
      <c r="AA89" s="120">
        <f t="shared" si="93"/>
        <v>0.06</v>
      </c>
      <c r="AB89" s="120">
        <f t="shared" si="93"/>
        <v>0.06</v>
      </c>
      <c r="AC89" s="120">
        <f t="shared" si="93"/>
        <v>0.06</v>
      </c>
      <c r="AD89" s="120">
        <f t="shared" si="93"/>
        <v>0.06</v>
      </c>
      <c r="AE89" s="120">
        <f t="shared" si="93"/>
        <v>0.06</v>
      </c>
      <c r="AF89" s="120">
        <f t="shared" si="93"/>
        <v>0.06</v>
      </c>
      <c r="AG89" s="120">
        <f t="shared" si="93"/>
        <v>0.06</v>
      </c>
      <c r="AH89" s="120">
        <f t="shared" si="93"/>
        <v>0.06</v>
      </c>
      <c r="AI89" s="120">
        <f t="shared" si="93"/>
        <v>0.06</v>
      </c>
      <c r="AJ89" s="120">
        <f t="shared" si="93"/>
        <v>0.06</v>
      </c>
      <c r="AK89" s="120">
        <f t="shared" si="93"/>
        <v>0.06</v>
      </c>
    </row>
    <row r="90" spans="1:37">
      <c r="B90" s="102" t="s">
        <v>556</v>
      </c>
      <c r="H90" s="108">
        <f>H88*H89</f>
        <v>1.8348</v>
      </c>
      <c r="I90" s="108">
        <f t="shared" ref="I90:R90" si="94">I88*I89</f>
        <v>1.8898440000000001</v>
      </c>
      <c r="J90" s="108">
        <f t="shared" si="94"/>
        <v>1.9465393199999999</v>
      </c>
      <c r="K90" s="108">
        <f t="shared" si="94"/>
        <v>2.0049354996000002</v>
      </c>
      <c r="L90" s="108">
        <f t="shared" si="94"/>
        <v>2.0650835645879999</v>
      </c>
      <c r="M90" s="108">
        <f t="shared" si="94"/>
        <v>2.12703607152564</v>
      </c>
      <c r="N90" s="108">
        <f t="shared" si="94"/>
        <v>2.1908471536714091</v>
      </c>
      <c r="O90" s="108">
        <f t="shared" si="94"/>
        <v>2.2565725682815518</v>
      </c>
      <c r="P90" s="108">
        <f t="shared" si="94"/>
        <v>2.3242697453299974</v>
      </c>
      <c r="Q90" s="108">
        <f t="shared" si="94"/>
        <v>2.393997837689898</v>
      </c>
      <c r="R90" s="108">
        <f t="shared" si="94"/>
        <v>2.465817772820595</v>
      </c>
      <c r="S90" s="108">
        <f t="shared" ref="S90:AK90" si="95">S88*S89</f>
        <v>2.539792306005213</v>
      </c>
      <c r="T90" s="108">
        <f t="shared" si="95"/>
        <v>2.6159860751853681</v>
      </c>
      <c r="U90" s="108">
        <f t="shared" si="95"/>
        <v>2.6944656574409294</v>
      </c>
      <c r="V90" s="108">
        <f t="shared" si="95"/>
        <v>2.7752996271641579</v>
      </c>
      <c r="W90" s="108">
        <f t="shared" si="95"/>
        <v>2.8585586159790828</v>
      </c>
      <c r="X90" s="108">
        <f t="shared" si="95"/>
        <v>2.9443153744584545</v>
      </c>
      <c r="Y90" s="108">
        <f t="shared" si="95"/>
        <v>3.0326448356922082</v>
      </c>
      <c r="Z90" s="108">
        <f t="shared" si="95"/>
        <v>3.1236241807629743</v>
      </c>
      <c r="AA90" s="108">
        <f t="shared" si="95"/>
        <v>3.2173329061858635</v>
      </c>
      <c r="AB90" s="108">
        <f t="shared" si="95"/>
        <v>3.3138528933714397</v>
      </c>
      <c r="AC90" s="108">
        <f t="shared" si="95"/>
        <v>3.4132684801725821</v>
      </c>
      <c r="AD90" s="108">
        <f t="shared" si="95"/>
        <v>3.5156665345777598</v>
      </c>
      <c r="AE90" s="108">
        <f t="shared" si="95"/>
        <v>3.6211365306150936</v>
      </c>
      <c r="AF90" s="108">
        <f t="shared" si="95"/>
        <v>3.7297706265335457</v>
      </c>
      <c r="AG90" s="108">
        <f t="shared" si="95"/>
        <v>3.8416637453295519</v>
      </c>
      <c r="AH90" s="108">
        <f t="shared" si="95"/>
        <v>3.956913657689439</v>
      </c>
      <c r="AI90" s="108">
        <f t="shared" si="95"/>
        <v>4.075621067420121</v>
      </c>
      <c r="AJ90" s="108">
        <f t="shared" si="95"/>
        <v>4.1978896994427251</v>
      </c>
      <c r="AK90" s="108">
        <f t="shared" si="95"/>
        <v>4.3238263904260066</v>
      </c>
    </row>
    <row r="92" spans="1:37">
      <c r="A92" s="102" t="s">
        <v>472</v>
      </c>
      <c r="B92" s="104" t="s">
        <v>588</v>
      </c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6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</row>
    <row r="93" spans="1:37">
      <c r="F93" s="767" t="s">
        <v>589</v>
      </c>
      <c r="G93" s="767"/>
      <c r="H93" s="767"/>
      <c r="I93" s="767"/>
      <c r="J93" s="767"/>
    </row>
    <row r="94" spans="1:37">
      <c r="E94" s="133">
        <f ca="1">G82</f>
        <v>0.17721282869209087</v>
      </c>
      <c r="F94" s="668">
        <v>3</v>
      </c>
      <c r="G94" s="668">
        <v>4</v>
      </c>
      <c r="H94" s="668">
        <v>5</v>
      </c>
      <c r="I94" s="668">
        <v>6</v>
      </c>
      <c r="J94" s="668">
        <v>7</v>
      </c>
    </row>
    <row r="95" spans="1:37">
      <c r="C95" s="768" t="s">
        <v>390</v>
      </c>
      <c r="D95" s="768"/>
      <c r="E95" s="669">
        <v>0.05</v>
      </c>
      <c r="F95" s="135">
        <f t="dataTable" ref="F95:J99" dt2D="1" dtr="1" r1="G27" r2="G25" ca="1"/>
        <v>0.39919775332768315</v>
      </c>
      <c r="G95" s="136">
        <v>0.32125450022569479</v>
      </c>
      <c r="H95" s="136">
        <v>0.27716390320334061</v>
      </c>
      <c r="I95" s="136">
        <v>0.24872325996205658</v>
      </c>
      <c r="J95" s="137">
        <v>0.22879977629633963</v>
      </c>
    </row>
    <row r="96" spans="1:37">
      <c r="C96" s="768"/>
      <c r="D96" s="768"/>
      <c r="E96" s="669">
        <v>5.2499999999999998E-2</v>
      </c>
      <c r="F96" s="138">
        <v>0.35959671595590859</v>
      </c>
      <c r="G96" s="135">
        <v>0.2950960620229508</v>
      </c>
      <c r="H96" s="136">
        <v>0.25821042288149743</v>
      </c>
      <c r="I96" s="137">
        <v>0.23420737453924012</v>
      </c>
      <c r="J96" s="139">
        <v>0.21726359474148071</v>
      </c>
    </row>
    <row r="97" spans="3:11">
      <c r="C97" s="768"/>
      <c r="D97" s="768"/>
      <c r="E97" s="669">
        <v>5.5E-2</v>
      </c>
      <c r="F97" s="138">
        <v>0.32154612012859207</v>
      </c>
      <c r="G97" s="138">
        <v>0.26987072490912012</v>
      </c>
      <c r="H97" s="140">
        <v>0.23992051815954318</v>
      </c>
      <c r="I97" s="139">
        <v>0.22020850618360122</v>
      </c>
      <c r="J97" s="139">
        <v>0.20615244184993653</v>
      </c>
      <c r="K97" s="118"/>
    </row>
    <row r="98" spans="3:11">
      <c r="C98" s="768"/>
      <c r="D98" s="768"/>
      <c r="E98" s="669">
        <v>5.7500000000000002E-2</v>
      </c>
      <c r="F98" s="138">
        <v>0.28484665726107394</v>
      </c>
      <c r="G98" s="141">
        <v>0.2454599292320585</v>
      </c>
      <c r="H98" s="142">
        <v>0.22221334552970906</v>
      </c>
      <c r="I98" s="143">
        <v>0.20666685065173374</v>
      </c>
      <c r="J98" s="139">
        <v>0.19541956937350591</v>
      </c>
    </row>
    <row r="99" spans="3:11">
      <c r="C99" s="768"/>
      <c r="D99" s="768"/>
      <c r="E99" s="669">
        <v>0.06</v>
      </c>
      <c r="F99" s="141">
        <v>0.24932264620307332</v>
      </c>
      <c r="G99" s="142">
        <v>0.22175889327452647</v>
      </c>
      <c r="H99" s="142">
        <v>0.20501762069094998</v>
      </c>
      <c r="I99" s="142">
        <v>0.19352986690121421</v>
      </c>
      <c r="J99" s="143">
        <v>0.18502404995612198</v>
      </c>
    </row>
  </sheetData>
  <mergeCells count="2">
    <mergeCell ref="F93:J93"/>
    <mergeCell ref="C95:D99"/>
  </mergeCells>
  <conditionalFormatting sqref="F95:J9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scale="48" orientation="portrait" r:id="rId1"/>
  <headerFooter>
    <oddHeader xml:space="preserve">&amp;L2019 ULI Hines Student Competition&amp;R2019-331 &amp;A 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D8EDD-A30E-4BF2-B417-F976C64DFDC0}">
  <sheetPr>
    <tabColor rgb="FFFFC000"/>
    <pageSetUpPr fitToPage="1"/>
  </sheetPr>
  <dimension ref="A1:M50"/>
  <sheetViews>
    <sheetView showGridLines="0" view="pageBreakPreview" zoomScale="80" zoomScaleNormal="100" zoomScaleSheetLayoutView="80" workbookViewId="0"/>
  </sheetViews>
  <sheetFormatPr defaultRowHeight="13.2"/>
  <cols>
    <col min="1" max="1" width="1.77734375" customWidth="1"/>
    <col min="2" max="2" width="14.6640625" bestFit="1" customWidth="1"/>
    <col min="3" max="3" width="16.109375" style="3" customWidth="1"/>
    <col min="4" max="4" width="11.44140625" bestFit="1" customWidth="1"/>
    <col min="5" max="5" width="5.44140625" customWidth="1"/>
    <col min="6" max="6" width="27.6640625" bestFit="1" customWidth="1"/>
    <col min="7" max="7" width="3.77734375" customWidth="1"/>
    <col min="8" max="8" width="16" style="3" bestFit="1" customWidth="1"/>
    <col min="9" max="9" width="16.5546875" bestFit="1" customWidth="1"/>
    <col min="10" max="10" width="14.44140625" style="3" bestFit="1" customWidth="1"/>
    <col min="11" max="11" width="14.33203125" bestFit="1" customWidth="1"/>
    <col min="12" max="12" width="15.5546875" bestFit="1" customWidth="1"/>
    <col min="13" max="13" width="14.33203125" bestFit="1" customWidth="1"/>
    <col min="14" max="14" width="15.5546875" bestFit="1" customWidth="1"/>
    <col min="15" max="15" width="14.21875" bestFit="1" customWidth="1"/>
  </cols>
  <sheetData>
    <row r="1" spans="1:10">
      <c r="A1" s="1"/>
    </row>
    <row r="2" spans="1:10">
      <c r="A2" s="1"/>
    </row>
    <row r="3" spans="1:10">
      <c r="A3" s="1"/>
    </row>
    <row r="4" spans="1:10">
      <c r="A4" s="1"/>
    </row>
    <row r="5" spans="1:10">
      <c r="A5" s="1"/>
    </row>
    <row r="6" spans="1:10">
      <c r="A6" s="1"/>
    </row>
    <row r="7" spans="1:10">
      <c r="A7" s="1"/>
    </row>
    <row r="8" spans="1:10">
      <c r="A8" s="1"/>
      <c r="B8" s="410" t="s">
        <v>762</v>
      </c>
    </row>
    <row r="9" spans="1:10">
      <c r="A9" s="1"/>
    </row>
    <row r="10" spans="1:10" ht="17.399999999999999">
      <c r="B10" s="188" t="s">
        <v>638</v>
      </c>
      <c r="C10" s="186"/>
      <c r="D10" s="187"/>
      <c r="E10" s="187"/>
      <c r="F10" s="187"/>
      <c r="G10" s="187"/>
      <c r="H10" s="186"/>
      <c r="I10" s="187"/>
      <c r="J10" s="186"/>
    </row>
    <row r="11" spans="1:10">
      <c r="B11" s="1"/>
    </row>
    <row r="12" spans="1:10" ht="14.4">
      <c r="B12" s="10" t="s">
        <v>646</v>
      </c>
      <c r="C12" s="11"/>
      <c r="D12" s="36" t="s">
        <v>442</v>
      </c>
      <c r="E12" s="96"/>
      <c r="F12" s="10" t="s">
        <v>647</v>
      </c>
      <c r="G12" s="10"/>
      <c r="H12" s="48"/>
      <c r="I12" s="11"/>
      <c r="J12" s="48"/>
    </row>
    <row r="13" spans="1:10" ht="14.4">
      <c r="B13" t="s">
        <v>399</v>
      </c>
      <c r="D13" s="46">
        <f>Parcels!N97</f>
        <v>451919</v>
      </c>
      <c r="E13" s="96"/>
      <c r="F13" s="40" t="s">
        <v>449</v>
      </c>
      <c r="G13" s="40"/>
      <c r="H13" s="41" t="s">
        <v>32</v>
      </c>
      <c r="I13" s="41" t="s">
        <v>450</v>
      </c>
      <c r="J13" s="41" t="s">
        <v>451</v>
      </c>
    </row>
    <row r="14" spans="1:10">
      <c r="B14" t="s">
        <v>400</v>
      </c>
      <c r="D14" s="56" t="s">
        <v>789</v>
      </c>
      <c r="E14" s="96"/>
      <c r="F14" t="s">
        <v>452</v>
      </c>
      <c r="H14" s="47">
        <f>Parcels!S97</f>
        <v>104048017</v>
      </c>
      <c r="I14" s="42">
        <f t="shared" ref="I14:I20" ca="1" si="0">H14/$H$21</f>
        <v>0.16034294797196069</v>
      </c>
      <c r="J14" s="43">
        <f t="shared" ref="J14:J17" si="1">H14/$D$16</f>
        <v>62.496331236267665</v>
      </c>
    </row>
    <row r="15" spans="1:10">
      <c r="B15" t="s">
        <v>401</v>
      </c>
      <c r="D15" s="449">
        <f>D16/D13</f>
        <v>3.6839920428218331</v>
      </c>
      <c r="E15" s="96"/>
      <c r="F15" t="s">
        <v>395</v>
      </c>
      <c r="H15" s="47">
        <f>'Area Matrix'!D62</f>
        <v>300573753</v>
      </c>
      <c r="I15" s="42">
        <f t="shared" ca="1" si="0"/>
        <v>0.46319846383055974</v>
      </c>
      <c r="J15" s="43">
        <f t="shared" si="1"/>
        <v>180.53930646670662</v>
      </c>
    </row>
    <row r="16" spans="1:10">
      <c r="B16" t="s">
        <v>402</v>
      </c>
      <c r="D16" s="31">
        <f>'Building Source Data v02'!D34</f>
        <v>1664866</v>
      </c>
      <c r="E16" s="96"/>
      <c r="F16" t="s">
        <v>410</v>
      </c>
      <c r="H16" s="47">
        <f>'Area Matrix'!H62</f>
        <v>75143438.25</v>
      </c>
      <c r="I16" s="42">
        <f t="shared" ca="1" si="0"/>
        <v>0.11579961595763993</v>
      </c>
      <c r="J16" s="43">
        <f t="shared" si="1"/>
        <v>45.134826616676655</v>
      </c>
    </row>
    <row r="17" spans="2:13">
      <c r="F17" s="1" t="s">
        <v>9</v>
      </c>
      <c r="G17" s="1"/>
      <c r="H17" s="47">
        <f>'Phase II - Pro Forma'!D21</f>
        <v>16651268.91069033</v>
      </c>
      <c r="I17" s="42">
        <f t="shared" ca="1" si="0"/>
        <v>2.5660398166107733E-2</v>
      </c>
      <c r="J17" s="43">
        <f t="shared" si="1"/>
        <v>10.001567039443612</v>
      </c>
    </row>
    <row r="18" spans="2:13">
      <c r="F18" s="1" t="s">
        <v>867</v>
      </c>
      <c r="G18" s="561">
        <v>0.03</v>
      </c>
      <c r="H18" s="572">
        <f>G18*SUM(H14:H17)</f>
        <v>14892494.314820709</v>
      </c>
      <c r="I18" s="42">
        <f t="shared" ca="1" si="0"/>
        <v>2.2950042777788043E-2</v>
      </c>
      <c r="J18" s="43">
        <f t="shared" ref="J18" si="2">H18/$D$16</f>
        <v>8.945160940772837</v>
      </c>
    </row>
    <row r="19" spans="2:13" ht="14.4">
      <c r="B19" s="10" t="s">
        <v>443</v>
      </c>
      <c r="C19" s="11"/>
      <c r="D19" s="11"/>
      <c r="F19" t="s">
        <v>426</v>
      </c>
      <c r="H19" s="185">
        <f ca="1">'Phase II - Pro Forma'!D59</f>
        <v>4217909.9177986132</v>
      </c>
      <c r="I19" s="42">
        <f t="shared" ca="1" si="0"/>
        <v>6.5000000000000006E-3</v>
      </c>
      <c r="J19" s="43">
        <f ca="1">H19/$D$16</f>
        <v>2.5334831258483343</v>
      </c>
      <c r="M19" s="32"/>
    </row>
    <row r="20" spans="2:13" ht="14.4">
      <c r="B20" s="1" t="s">
        <v>392</v>
      </c>
      <c r="D20" s="563">
        <v>2020</v>
      </c>
      <c r="F20" t="s">
        <v>398</v>
      </c>
      <c r="H20" s="185">
        <f ca="1">'Phase II - Pro Forma'!D61</f>
        <v>133382336.72955382</v>
      </c>
      <c r="I20" s="42">
        <f t="shared" ca="1" si="0"/>
        <v>0.20554853129594378</v>
      </c>
      <c r="J20" s="43">
        <f ca="1">H20/$D$16</f>
        <v>80.115959320181815</v>
      </c>
      <c r="M20" s="32"/>
    </row>
    <row r="21" spans="2:13" ht="14.4">
      <c r="B21" s="1" t="s">
        <v>448</v>
      </c>
      <c r="C21"/>
      <c r="D21" s="563">
        <v>2025</v>
      </c>
      <c r="F21" s="8" t="s">
        <v>453</v>
      </c>
      <c r="G21" s="8"/>
      <c r="H21" s="44">
        <f ca="1">SUM(H14:H20)</f>
        <v>648909218.12286353</v>
      </c>
      <c r="I21" s="437">
        <f ca="1">SUM(I14:I20)</f>
        <v>0.99999999999999989</v>
      </c>
      <c r="J21" s="45"/>
      <c r="M21" s="33"/>
    </row>
    <row r="22" spans="2:13" ht="14.4">
      <c r="B22" s="1" t="s">
        <v>632</v>
      </c>
      <c r="C22"/>
      <c r="D22" s="564">
        <v>3</v>
      </c>
      <c r="M22" s="34"/>
    </row>
    <row r="23" spans="2:13" ht="14.4">
      <c r="B23" t="s">
        <v>403</v>
      </c>
      <c r="C23"/>
      <c r="D23" s="180">
        <f>SUM(D21:D22)</f>
        <v>2028</v>
      </c>
      <c r="F23" s="10" t="s">
        <v>648</v>
      </c>
      <c r="G23" s="10"/>
      <c r="H23" s="48"/>
      <c r="I23" s="11"/>
      <c r="J23" s="48"/>
      <c r="M23" s="35"/>
    </row>
    <row r="24" spans="2:13" ht="14.4">
      <c r="B24" s="1" t="s">
        <v>679</v>
      </c>
      <c r="C24"/>
      <c r="D24" s="564">
        <v>1</v>
      </c>
      <c r="F24" s="1" t="s">
        <v>28</v>
      </c>
      <c r="G24" s="1"/>
      <c r="H24" s="47">
        <f ca="1">H21-H28-H25-H26-H27</f>
        <v>159004440.64957145</v>
      </c>
      <c r="I24" s="42">
        <f ca="1">H24/$H$29</f>
        <v>0.24503341331709327</v>
      </c>
      <c r="M24" s="35"/>
    </row>
    <row r="25" spans="2:13" s="167" customFormat="1" ht="14.4">
      <c r="B25" s="167" t="s">
        <v>404</v>
      </c>
      <c r="D25" s="399">
        <f>SUM(D23:D24)</f>
        <v>2029</v>
      </c>
      <c r="F25" s="197" t="s">
        <v>652</v>
      </c>
      <c r="G25" s="197"/>
      <c r="H25" s="185">
        <f ca="1">'Phase II - CF Affordable Rental'!R24</f>
        <v>23307487.187751781</v>
      </c>
      <c r="I25" s="42">
        <f ca="1">H25/$H$29</f>
        <v>3.5917947436738026E-2</v>
      </c>
      <c r="J25" s="203"/>
      <c r="K25"/>
      <c r="L25"/>
      <c r="M25" s="35"/>
    </row>
    <row r="26" spans="2:13" ht="14.4">
      <c r="B26" s="1" t="s">
        <v>678</v>
      </c>
      <c r="C26"/>
      <c r="D26" s="564">
        <v>2</v>
      </c>
      <c r="F26" s="197" t="s">
        <v>727</v>
      </c>
      <c r="G26" s="197"/>
      <c r="H26" s="241">
        <f ca="1">Taxes!AD56</f>
        <v>33306298.505678989</v>
      </c>
      <c r="I26" s="42">
        <f ca="1">H26/$H$29</f>
        <v>5.1326591725767139E-2</v>
      </c>
      <c r="K26" s="167"/>
      <c r="L26" s="167"/>
      <c r="M26" s="167"/>
    </row>
    <row r="27" spans="2:13" ht="13.8" thickBot="1">
      <c r="B27" t="s">
        <v>436</v>
      </c>
      <c r="C27"/>
      <c r="D27" s="180">
        <f>D23+3</f>
        <v>2031</v>
      </c>
      <c r="F27" s="197" t="s">
        <v>730</v>
      </c>
      <c r="G27" s="197"/>
      <c r="H27" s="185">
        <f>23000000/2</f>
        <v>11500000</v>
      </c>
      <c r="I27" s="42">
        <f ca="1">H27/$H$29</f>
        <v>1.7722047520401546E-2</v>
      </c>
      <c r="J27" s="203"/>
    </row>
    <row r="28" spans="2:13" ht="15" thickBot="1">
      <c r="B28" t="s">
        <v>390</v>
      </c>
      <c r="C28"/>
      <c r="D28" s="565">
        <v>5.5E-2</v>
      </c>
      <c r="F28" s="1" t="s">
        <v>424</v>
      </c>
      <c r="G28" s="1"/>
      <c r="H28" s="43">
        <f ca="1">J36</f>
        <v>421790991.77986133</v>
      </c>
      <c r="I28" s="42">
        <f ca="1">H28/$H$29</f>
        <v>0.65</v>
      </c>
      <c r="K28" s="56" t="s">
        <v>634</v>
      </c>
      <c r="L28" s="369">
        <f ca="1">SUM(H24:H28)-H21</f>
        <v>0</v>
      </c>
    </row>
    <row r="29" spans="2:13" ht="14.4">
      <c r="B29" t="s">
        <v>405</v>
      </c>
      <c r="C29"/>
      <c r="D29" s="566">
        <v>0.01</v>
      </c>
      <c r="F29" s="8" t="s">
        <v>458</v>
      </c>
      <c r="G29" s="710"/>
      <c r="H29" s="438">
        <f ca="1">SUM(H24:H28)</f>
        <v>648909218.12286353</v>
      </c>
      <c r="I29" s="439">
        <f ca="1">SUM(I24:I28)</f>
        <v>1</v>
      </c>
      <c r="J29" s="49"/>
    </row>
    <row r="30" spans="2:13" ht="14.4">
      <c r="B30" s="14" t="s">
        <v>406</v>
      </c>
      <c r="C30" s="15"/>
      <c r="D30" s="567">
        <v>10</v>
      </c>
    </row>
    <row r="31" spans="2:13" ht="14.4">
      <c r="F31" s="10" t="s">
        <v>649</v>
      </c>
      <c r="G31" s="10"/>
      <c r="H31" s="48"/>
      <c r="I31" s="11"/>
      <c r="J31" s="48"/>
    </row>
    <row r="32" spans="2:13">
      <c r="F32" s="1" t="s">
        <v>424</v>
      </c>
      <c r="G32" s="1"/>
    </row>
    <row r="33" spans="6:11">
      <c r="F33" s="38"/>
      <c r="G33" s="38"/>
      <c r="H33" s="50" t="s">
        <v>463</v>
      </c>
      <c r="I33" s="50" t="s">
        <v>464</v>
      </c>
      <c r="J33" s="4" t="s">
        <v>465</v>
      </c>
    </row>
    <row r="34" spans="6:11">
      <c r="F34" s="1" t="s">
        <v>460</v>
      </c>
      <c r="G34" s="1"/>
      <c r="H34" s="568">
        <v>0.02</v>
      </c>
      <c r="I34" s="569">
        <v>500</v>
      </c>
      <c r="J34" s="236">
        <f>H34+(I34/10000)</f>
        <v>7.0000000000000007E-2</v>
      </c>
    </row>
    <row r="35" spans="6:11">
      <c r="F35" s="1" t="s">
        <v>461</v>
      </c>
      <c r="G35" s="1"/>
      <c r="I35" s="3"/>
      <c r="J35" s="561">
        <v>0.65</v>
      </c>
    </row>
    <row r="36" spans="6:11">
      <c r="F36" s="1" t="s">
        <v>462</v>
      </c>
      <c r="G36" s="1"/>
      <c r="I36" s="3"/>
      <c r="J36" s="55">
        <f ca="1">J35*H21</f>
        <v>421790991.77986133</v>
      </c>
    </row>
    <row r="37" spans="6:11">
      <c r="F37" s="1" t="s">
        <v>426</v>
      </c>
      <c r="G37" s="1"/>
      <c r="I37" s="3"/>
      <c r="J37" s="561">
        <v>0.01</v>
      </c>
    </row>
    <row r="39" spans="6:11" ht="14.4">
      <c r="F39" s="10" t="s">
        <v>650</v>
      </c>
      <c r="G39" s="10"/>
      <c r="H39" s="48"/>
      <c r="I39" s="11"/>
      <c r="J39" s="48"/>
    </row>
    <row r="40" spans="6:11">
      <c r="F40" s="38"/>
      <c r="G40" s="38"/>
      <c r="H40" s="50" t="s">
        <v>463</v>
      </c>
      <c r="I40" s="50" t="s">
        <v>464</v>
      </c>
      <c r="J40" s="4" t="s">
        <v>465</v>
      </c>
    </row>
    <row r="41" spans="6:11">
      <c r="F41" t="s">
        <v>460</v>
      </c>
      <c r="H41" s="568">
        <v>0.02</v>
      </c>
      <c r="I41" s="569">
        <v>250</v>
      </c>
      <c r="J41" s="236">
        <f>H41+(I41/10000)</f>
        <v>4.4999999999999998E-2</v>
      </c>
    </row>
    <row r="42" spans="6:11">
      <c r="F42" t="s">
        <v>467</v>
      </c>
      <c r="I42" s="3"/>
      <c r="J42" s="561">
        <v>0.7</v>
      </c>
      <c r="K42" s="1"/>
    </row>
    <row r="43" spans="6:11">
      <c r="F43" t="s">
        <v>468</v>
      </c>
      <c r="I43" s="3"/>
      <c r="J43" s="570">
        <v>4.4999999999999998E-2</v>
      </c>
    </row>
    <row r="44" spans="6:11">
      <c r="F44" s="1" t="s">
        <v>391</v>
      </c>
      <c r="G44" s="1"/>
      <c r="I44" s="52"/>
      <c r="J44" s="571">
        <v>10</v>
      </c>
    </row>
    <row r="45" spans="6:11">
      <c r="F45" s="197" t="s">
        <v>636</v>
      </c>
      <c r="G45" s="197"/>
      <c r="I45" s="3"/>
      <c r="J45" s="180">
        <f>D27</f>
        <v>2031</v>
      </c>
    </row>
    <row r="46" spans="6:11">
      <c r="F46" s="197" t="s">
        <v>677</v>
      </c>
      <c r="G46" s="197"/>
      <c r="I46" s="3"/>
      <c r="J46" s="180">
        <f>J44+J45</f>
        <v>2041</v>
      </c>
    </row>
    <row r="47" spans="6:11">
      <c r="F47" s="1" t="s">
        <v>635</v>
      </c>
      <c r="G47" s="1"/>
      <c r="I47" s="3"/>
      <c r="J47" s="7">
        <f ca="1">OFFSET('Phase II - Pro Forma'!$E$40,0,MATCH('Phase II - Summary'!J45,'Phase II - Pro Forma'!F13:AJ13,0),)</f>
        <v>39456883.60170608</v>
      </c>
    </row>
    <row r="48" spans="6:11">
      <c r="F48" t="s">
        <v>469</v>
      </c>
      <c r="I48" s="3"/>
      <c r="J48" s="7">
        <f ca="1">J47/J43</f>
        <v>876819635.59346843</v>
      </c>
    </row>
    <row r="49" spans="6:10">
      <c r="F49" t="s">
        <v>470</v>
      </c>
      <c r="I49" s="3"/>
      <c r="J49" s="7">
        <f ca="1">J48*J42</f>
        <v>613773744.9154278</v>
      </c>
    </row>
    <row r="50" spans="6:10">
      <c r="F50" t="s">
        <v>426</v>
      </c>
      <c r="I50" s="3"/>
      <c r="J50" s="561">
        <v>0.01</v>
      </c>
    </row>
  </sheetData>
  <pageMargins left="0.7" right="0.7" top="0.75" bottom="0.75" header="0.3" footer="0.3"/>
  <pageSetup scale="73" fitToHeight="0" orientation="portrait" r:id="rId1"/>
  <headerFooter>
    <oddHeader xml:space="preserve">&amp;L2019 ULI Hines Student Competition&amp;R2019-331 &amp;A 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18DB7-16C0-4C0C-9A5C-CF1D3B890A3E}">
  <sheetPr>
    <tabColor rgb="FFFFC000"/>
    <pageSetUpPr fitToPage="1"/>
  </sheetPr>
  <dimension ref="A1:FG77"/>
  <sheetViews>
    <sheetView showGridLines="0" view="pageBreakPreview" zoomScale="70" zoomScaleNormal="100" zoomScaleSheetLayoutView="70" workbookViewId="0">
      <pane xSplit="4" ySplit="13" topLeftCell="E14" activePane="bottomRight" state="frozen"/>
      <selection activeCell="O21" sqref="O21"/>
      <selection pane="topRight" activeCell="O21" sqref="O21"/>
      <selection pane="bottomLeft" activeCell="O21" sqref="O21"/>
      <selection pane="bottomRight" activeCell="E14" sqref="E14"/>
    </sheetView>
  </sheetViews>
  <sheetFormatPr defaultRowHeight="13.2"/>
  <cols>
    <col min="1" max="1" width="1.77734375" customWidth="1"/>
    <col min="3" max="3" width="23.88671875" customWidth="1"/>
    <col min="4" max="4" width="15.5546875" bestFit="1" customWidth="1"/>
    <col min="5" max="5" width="2.6640625" customWidth="1"/>
    <col min="6" max="6" width="14.5546875" bestFit="1" customWidth="1"/>
    <col min="7" max="8" width="12.77734375" bestFit="1" customWidth="1"/>
    <col min="9" max="9" width="15.109375" bestFit="1" customWidth="1"/>
    <col min="10" max="36" width="14.44140625" bestFit="1" customWidth="1"/>
    <col min="37" max="54" width="11.77734375" style="96" bestFit="1" customWidth="1"/>
    <col min="55" max="134" width="8.88671875" style="96"/>
    <col min="135" max="137" width="10.109375" style="96" bestFit="1" customWidth="1"/>
    <col min="138" max="16384" width="8.88671875" style="96"/>
  </cols>
  <sheetData>
    <row r="1" spans="1:163" s="92" customForma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</row>
    <row r="2" spans="1:163" s="92" customFormat="1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</row>
    <row r="3" spans="1:163" s="92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</row>
    <row r="4" spans="1:163" s="92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</row>
    <row r="5" spans="1:163" s="92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</row>
    <row r="6" spans="1:163" s="92" customFormat="1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163" s="92" customFormat="1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163" s="92" customFormat="1">
      <c r="A8"/>
      <c r="B8" s="410" t="s">
        <v>762</v>
      </c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163" s="92" customFormat="1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163" s="193" customFormat="1" ht="15" thickBot="1">
      <c r="A10" s="189"/>
      <c r="B10" s="190" t="s">
        <v>639</v>
      </c>
      <c r="C10" s="191"/>
      <c r="D10" s="191"/>
      <c r="E10" s="191"/>
      <c r="F10" s="191"/>
      <c r="G10" s="191"/>
      <c r="H10" s="192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</row>
    <row r="11" spans="1:163" s="92" customFormat="1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163" s="92" customFormat="1">
      <c r="A12"/>
      <c r="B12" s="1" t="s">
        <v>407</v>
      </c>
      <c r="C12"/>
      <c r="D12"/>
      <c r="E12"/>
      <c r="F12" s="207">
        <v>0</v>
      </c>
      <c r="G12" s="207">
        <f>F12+1</f>
        <v>1</v>
      </c>
      <c r="H12" s="207">
        <f t="shared" ref="H12:W13" si="0">G12+1</f>
        <v>2</v>
      </c>
      <c r="I12" s="207">
        <f t="shared" si="0"/>
        <v>3</v>
      </c>
      <c r="J12" s="207">
        <f t="shared" si="0"/>
        <v>4</v>
      </c>
      <c r="K12" s="207">
        <f t="shared" si="0"/>
        <v>5</v>
      </c>
      <c r="L12" s="207">
        <f t="shared" si="0"/>
        <v>6</v>
      </c>
      <c r="M12" s="207">
        <f t="shared" si="0"/>
        <v>7</v>
      </c>
      <c r="N12" s="207">
        <f t="shared" si="0"/>
        <v>8</v>
      </c>
      <c r="O12" s="207">
        <f t="shared" si="0"/>
        <v>9</v>
      </c>
      <c r="P12" s="207">
        <f t="shared" si="0"/>
        <v>10</v>
      </c>
      <c r="Q12" s="207">
        <f t="shared" si="0"/>
        <v>11</v>
      </c>
      <c r="R12" s="207">
        <f t="shared" si="0"/>
        <v>12</v>
      </c>
      <c r="S12" s="207">
        <f t="shared" si="0"/>
        <v>13</v>
      </c>
      <c r="T12" s="207">
        <f t="shared" si="0"/>
        <v>14</v>
      </c>
      <c r="U12" s="207">
        <f t="shared" si="0"/>
        <v>15</v>
      </c>
      <c r="V12" s="207">
        <f t="shared" si="0"/>
        <v>16</v>
      </c>
      <c r="W12" s="207">
        <f t="shared" si="0"/>
        <v>17</v>
      </c>
      <c r="X12" s="207">
        <f t="shared" ref="X12:AJ13" si="1">W12+1</f>
        <v>18</v>
      </c>
      <c r="Y12" s="207">
        <f t="shared" si="1"/>
        <v>19</v>
      </c>
      <c r="Z12" s="207">
        <f t="shared" si="1"/>
        <v>20</v>
      </c>
      <c r="AA12" s="207">
        <f t="shared" si="1"/>
        <v>21</v>
      </c>
      <c r="AB12" s="207">
        <f t="shared" si="1"/>
        <v>22</v>
      </c>
      <c r="AC12" s="207">
        <f t="shared" si="1"/>
        <v>23</v>
      </c>
      <c r="AD12" s="207">
        <f t="shared" si="1"/>
        <v>24</v>
      </c>
      <c r="AE12" s="207">
        <f t="shared" si="1"/>
        <v>25</v>
      </c>
      <c r="AF12" s="207">
        <f t="shared" si="1"/>
        <v>26</v>
      </c>
      <c r="AG12" s="207">
        <f t="shared" si="1"/>
        <v>27</v>
      </c>
      <c r="AH12" s="207">
        <f t="shared" si="1"/>
        <v>28</v>
      </c>
      <c r="AI12" s="207">
        <f t="shared" si="1"/>
        <v>29</v>
      </c>
      <c r="AJ12" s="207">
        <f t="shared" si="1"/>
        <v>30</v>
      </c>
    </row>
    <row r="13" spans="1:163" s="92" customFormat="1">
      <c r="A13"/>
      <c r="B13" t="s">
        <v>408</v>
      </c>
      <c r="C13"/>
      <c r="D13"/>
      <c r="E13"/>
      <c r="F13" s="169">
        <f>'Phase II - Summary'!D20</f>
        <v>2020</v>
      </c>
      <c r="G13" s="169">
        <f>F13+1</f>
        <v>2021</v>
      </c>
      <c r="H13" s="169">
        <f t="shared" si="0"/>
        <v>2022</v>
      </c>
      <c r="I13" s="169">
        <f t="shared" si="0"/>
        <v>2023</v>
      </c>
      <c r="J13" s="169">
        <f t="shared" si="0"/>
        <v>2024</v>
      </c>
      <c r="K13" s="169">
        <f t="shared" si="0"/>
        <v>2025</v>
      </c>
      <c r="L13" s="169">
        <f t="shared" si="0"/>
        <v>2026</v>
      </c>
      <c r="M13" s="169">
        <f t="shared" si="0"/>
        <v>2027</v>
      </c>
      <c r="N13" s="169">
        <f t="shared" si="0"/>
        <v>2028</v>
      </c>
      <c r="O13" s="169">
        <f t="shared" si="0"/>
        <v>2029</v>
      </c>
      <c r="P13" s="169">
        <f t="shared" si="0"/>
        <v>2030</v>
      </c>
      <c r="Q13" s="169">
        <f t="shared" si="0"/>
        <v>2031</v>
      </c>
      <c r="R13" s="169">
        <f t="shared" si="0"/>
        <v>2032</v>
      </c>
      <c r="S13" s="169">
        <f t="shared" si="0"/>
        <v>2033</v>
      </c>
      <c r="T13" s="169">
        <f t="shared" si="0"/>
        <v>2034</v>
      </c>
      <c r="U13" s="169">
        <f t="shared" si="0"/>
        <v>2035</v>
      </c>
      <c r="V13" s="169">
        <f t="shared" si="0"/>
        <v>2036</v>
      </c>
      <c r="W13" s="169">
        <f t="shared" si="0"/>
        <v>2037</v>
      </c>
      <c r="X13" s="169">
        <f t="shared" si="1"/>
        <v>2038</v>
      </c>
      <c r="Y13" s="169">
        <f t="shared" si="1"/>
        <v>2039</v>
      </c>
      <c r="Z13" s="169">
        <f t="shared" si="1"/>
        <v>2040</v>
      </c>
      <c r="AA13" s="169">
        <f t="shared" si="1"/>
        <v>2041</v>
      </c>
      <c r="AB13" s="169">
        <f t="shared" si="1"/>
        <v>2042</v>
      </c>
      <c r="AC13" s="169">
        <f t="shared" si="1"/>
        <v>2043</v>
      </c>
      <c r="AD13" s="169">
        <f t="shared" si="1"/>
        <v>2044</v>
      </c>
      <c r="AE13" s="169">
        <f t="shared" si="1"/>
        <v>2045</v>
      </c>
      <c r="AF13" s="169">
        <f t="shared" si="1"/>
        <v>2046</v>
      </c>
      <c r="AG13" s="169">
        <f t="shared" si="1"/>
        <v>2047</v>
      </c>
      <c r="AH13" s="169">
        <f t="shared" si="1"/>
        <v>2048</v>
      </c>
      <c r="AI13" s="169">
        <f t="shared" si="1"/>
        <v>2049</v>
      </c>
      <c r="AJ13" s="169">
        <f t="shared" si="1"/>
        <v>2050</v>
      </c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  <c r="CT13" s="175"/>
      <c r="CU13" s="175"/>
      <c r="CV13" s="175"/>
      <c r="CW13" s="175"/>
      <c r="CX13" s="175"/>
      <c r="CY13" s="175"/>
      <c r="CZ13" s="175"/>
      <c r="DA13" s="175"/>
      <c r="DB13" s="175"/>
      <c r="DC13" s="175"/>
      <c r="DD13" s="175"/>
      <c r="DE13" s="175"/>
      <c r="DF13" s="175"/>
      <c r="DG13" s="175"/>
      <c r="DH13" s="175"/>
      <c r="DI13" s="175"/>
      <c r="DJ13" s="175"/>
      <c r="DK13" s="175"/>
      <c r="DL13" s="175"/>
      <c r="DM13" s="175"/>
      <c r="DN13" s="175"/>
      <c r="DO13" s="175"/>
      <c r="DP13" s="175"/>
      <c r="DQ13" s="175"/>
      <c r="DR13" s="175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  <c r="ED13" s="175"/>
      <c r="EE13" s="175"/>
      <c r="EF13" s="175"/>
      <c r="EG13" s="175"/>
      <c r="EH13" s="175"/>
      <c r="EI13" s="175"/>
      <c r="EJ13" s="175"/>
      <c r="EK13" s="175"/>
      <c r="EL13" s="175"/>
      <c r="EM13" s="175"/>
      <c r="EN13" s="175"/>
      <c r="EO13" s="175"/>
      <c r="EP13" s="175"/>
      <c r="EQ13" s="175"/>
      <c r="ER13" s="175"/>
      <c r="ES13" s="175"/>
      <c r="ET13" s="175"/>
      <c r="EU13" s="175"/>
      <c r="EV13" s="175"/>
      <c r="EW13" s="175"/>
      <c r="EX13" s="175"/>
      <c r="EY13" s="175"/>
      <c r="EZ13" s="175"/>
      <c r="FA13" s="175"/>
      <c r="FB13" s="175"/>
      <c r="FC13" s="175"/>
      <c r="FD13" s="175"/>
      <c r="FE13" s="175"/>
      <c r="FF13" s="175"/>
      <c r="FG13" s="175"/>
    </row>
    <row r="14" spans="1:163" s="92" customFormat="1">
      <c r="A14"/>
      <c r="B14"/>
      <c r="C14"/>
      <c r="D14"/>
      <c r="E14"/>
      <c r="F14" s="13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</row>
    <row r="15" spans="1:163" s="92" customFormat="1" ht="14.4">
      <c r="A15"/>
      <c r="B15"/>
      <c r="C15"/>
      <c r="D15" s="16" t="s">
        <v>16</v>
      </c>
      <c r="E15"/>
      <c r="F15" s="13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</row>
    <row r="16" spans="1:163" s="92" customFormat="1">
      <c r="A16"/>
      <c r="B16" t="s">
        <v>409</v>
      </c>
      <c r="C16"/>
      <c r="D16" s="17">
        <f>SUM(F16:DV16)</f>
        <v>1</v>
      </c>
      <c r="E16"/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f>IF(K13&lt;'Phase II - Summary'!$D$23,1/'Phase II - Summary'!$D$22,0)</f>
        <v>0.33333333333333331</v>
      </c>
      <c r="L16" s="12">
        <f>IF(L13&lt;'Phase II - Summary'!$D$23,1/'Phase II - Summary'!$D$22,0)</f>
        <v>0.33333333333333331</v>
      </c>
      <c r="M16" s="12">
        <f>IF(M13&lt;'Phase II - Summary'!$D$23,1/'Phase II - Summary'!$D$22,0)</f>
        <v>0.33333333333333331</v>
      </c>
      <c r="N16" s="12">
        <f>IF(N13&lt;'Phase II - Summary'!$D$23,1/'Phase II - Summary'!$D$22,0)</f>
        <v>0</v>
      </c>
      <c r="O16" s="12">
        <f>IF(O13&lt;'Phase II - Summary'!$D$23,1/'Phase II - Summary'!$D$22,0)</f>
        <v>0</v>
      </c>
      <c r="P16" s="12">
        <f>IF(P13&lt;'Phase II - Summary'!$D$23,1/'Phase II - Summary'!$D$22,0)</f>
        <v>0</v>
      </c>
      <c r="Q16" s="12">
        <f>IF(Q13&lt;'Phase II - Summary'!$D$23,1/'Phase II - Summary'!$D$22,0)</f>
        <v>0</v>
      </c>
      <c r="R16" s="12">
        <f>IF(R13&lt;'Phase II - Summary'!$D$23,1/'Phase II - Summary'!$D$22,0)</f>
        <v>0</v>
      </c>
      <c r="S16" s="12">
        <f>IF(S13&lt;'Phase II - Summary'!$D$23,1/'Phase II - Summary'!$D$22,0)</f>
        <v>0</v>
      </c>
      <c r="T16" s="12">
        <f>IF(T13&lt;'Phase II - Summary'!$D$23,1/'Phase II - Summary'!$D$22,0)</f>
        <v>0</v>
      </c>
      <c r="U16" s="12">
        <f>IF(U13&lt;'Phase II - Summary'!$D$23,1/'Phase II - Summary'!$D$22,0)</f>
        <v>0</v>
      </c>
      <c r="V16" s="12">
        <f>IF(V13&lt;'Phase II - Summary'!$D$23,1/'Phase II - Summary'!$D$22,0)</f>
        <v>0</v>
      </c>
      <c r="W16" s="12">
        <f>IF(W13&lt;'Phase II - Summary'!$D$23,1/'Phase II - Summary'!$D$22,0)</f>
        <v>0</v>
      </c>
      <c r="X16" s="12">
        <f>IF(X13&lt;'Phase II - Summary'!$D$23,1/'Phase II - Summary'!$D$22,0)</f>
        <v>0</v>
      </c>
      <c r="Y16" s="12">
        <f>IF(Y13&lt;'Phase II - Summary'!$D$23,1/'Phase II - Summary'!$D$22,0)</f>
        <v>0</v>
      </c>
      <c r="Z16" s="12">
        <f>IF(Z13&lt;'Phase II - Summary'!$D$23,1/'Phase II - Summary'!$D$22,0)</f>
        <v>0</v>
      </c>
      <c r="AA16" s="12">
        <f>IF(AA13&lt;'Phase II - Summary'!$D$23,1/'Phase II - Summary'!$D$22,0)</f>
        <v>0</v>
      </c>
      <c r="AB16" s="12">
        <f>IF(AB13&lt;'Phase II - Summary'!$D$23,1/'Phase II - Summary'!$D$22,0)</f>
        <v>0</v>
      </c>
      <c r="AC16" s="12">
        <f>IF(AC13&lt;'Phase II - Summary'!$D$23,1/'Phase II - Summary'!$D$22,0)</f>
        <v>0</v>
      </c>
      <c r="AD16" s="12">
        <f>IF(AD13&lt;'Phase II - Summary'!$D$23,1/'Phase II - Summary'!$D$22,0)</f>
        <v>0</v>
      </c>
      <c r="AE16" s="12">
        <f>IF(AE13&lt;'Phase II - Summary'!$D$23,1/'Phase II - Summary'!$D$22,0)</f>
        <v>0</v>
      </c>
      <c r="AF16" s="12">
        <f>IF(AF13&lt;'Phase II - Summary'!$D$23,1/'Phase II - Summary'!$D$22,0)</f>
        <v>0</v>
      </c>
      <c r="AG16" s="12">
        <f>IF(AG13&lt;'Phase II - Summary'!$D$23,1/'Phase II - Summary'!$D$22,0)</f>
        <v>0</v>
      </c>
      <c r="AH16" s="12">
        <f>IF(AH13&lt;'Phase II - Summary'!$D$23,1/'Phase II - Summary'!$D$22,0)</f>
        <v>0</v>
      </c>
      <c r="AI16" s="12">
        <f>IF(AI13&lt;'Phase II - Summary'!$D$23,1/'Phase II - Summary'!$D$22,0)</f>
        <v>0</v>
      </c>
      <c r="AJ16" s="12">
        <f>IF(AJ13&lt;'Phase II - Summary'!$D$23,1/'Phase II - Summary'!$D$22,0)</f>
        <v>0</v>
      </c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  <c r="AZ16" s="176"/>
      <c r="BA16" s="176"/>
      <c r="BB16" s="176"/>
      <c r="BC16" s="176"/>
      <c r="BD16" s="176"/>
      <c r="BE16" s="176"/>
      <c r="BF16" s="176"/>
      <c r="BG16" s="176"/>
      <c r="BH16" s="176"/>
      <c r="BI16" s="176"/>
      <c r="BJ16" s="176"/>
      <c r="BK16" s="176"/>
      <c r="BL16" s="176"/>
      <c r="BM16" s="176"/>
      <c r="BN16" s="176"/>
      <c r="BO16" s="176"/>
      <c r="BP16" s="176"/>
      <c r="BQ16" s="176"/>
      <c r="BR16" s="176"/>
      <c r="BS16" s="176"/>
      <c r="BT16" s="176"/>
      <c r="BU16" s="176"/>
      <c r="BV16" s="176"/>
      <c r="BW16" s="176"/>
      <c r="BX16" s="176"/>
      <c r="BY16" s="176"/>
      <c r="BZ16" s="176"/>
      <c r="CA16" s="176"/>
      <c r="CB16" s="176"/>
      <c r="CC16" s="176"/>
      <c r="CD16" s="176"/>
      <c r="CE16" s="176"/>
      <c r="CF16" s="176"/>
      <c r="CG16" s="176"/>
      <c r="CH16" s="176"/>
      <c r="CI16" s="176"/>
      <c r="CJ16" s="176"/>
      <c r="CK16" s="176"/>
      <c r="CL16" s="176"/>
      <c r="CM16" s="176"/>
      <c r="CN16" s="176"/>
      <c r="CO16" s="176"/>
      <c r="CP16" s="176"/>
      <c r="CQ16" s="176"/>
      <c r="CR16" s="176"/>
      <c r="CS16" s="176"/>
      <c r="CT16" s="176"/>
      <c r="CU16" s="176"/>
      <c r="CV16" s="176"/>
      <c r="CW16" s="176"/>
      <c r="CX16" s="176"/>
      <c r="CY16" s="176"/>
      <c r="CZ16" s="176"/>
      <c r="DA16" s="176"/>
      <c r="DB16" s="176"/>
      <c r="DC16" s="176"/>
      <c r="DD16" s="176"/>
      <c r="DE16" s="176"/>
      <c r="DF16" s="176"/>
      <c r="DG16" s="176"/>
      <c r="DH16" s="176"/>
      <c r="DI16" s="176"/>
      <c r="DJ16" s="176"/>
      <c r="DK16" s="176"/>
      <c r="DL16" s="176"/>
      <c r="DM16" s="176"/>
      <c r="DN16" s="176"/>
      <c r="DO16" s="176"/>
      <c r="DP16" s="176"/>
      <c r="DQ16" s="176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  <c r="EB16" s="176"/>
      <c r="EC16" s="176"/>
      <c r="ED16" s="176"/>
      <c r="EE16" s="176"/>
      <c r="EF16" s="176"/>
      <c r="EG16" s="176"/>
      <c r="EH16" s="176"/>
    </row>
    <row r="17" spans="1:138" s="92" customFormat="1">
      <c r="A17"/>
      <c r="B17"/>
      <c r="C17"/>
      <c r="D17" s="18"/>
      <c r="E17"/>
      <c r="F17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  <c r="AZ17" s="176"/>
      <c r="BA17" s="176"/>
      <c r="BB17" s="176"/>
      <c r="BC17" s="176"/>
      <c r="BD17" s="176"/>
      <c r="BE17" s="176"/>
      <c r="BF17" s="176"/>
      <c r="BG17" s="176"/>
      <c r="BH17" s="176"/>
      <c r="BI17" s="176"/>
      <c r="BJ17" s="176"/>
      <c r="BK17" s="176"/>
      <c r="BL17" s="176"/>
      <c r="BM17" s="176"/>
      <c r="BN17" s="176"/>
      <c r="BO17" s="176"/>
      <c r="BP17" s="176"/>
      <c r="BQ17" s="176"/>
      <c r="BR17" s="176"/>
      <c r="BS17" s="176"/>
      <c r="BT17" s="176"/>
      <c r="BU17" s="176"/>
      <c r="BV17" s="176"/>
      <c r="BW17" s="176"/>
      <c r="BX17" s="176"/>
      <c r="BY17" s="176"/>
      <c r="BZ17" s="176"/>
      <c r="CA17" s="176"/>
      <c r="CB17" s="176"/>
      <c r="CC17" s="176"/>
      <c r="CD17" s="176"/>
      <c r="CE17" s="176"/>
      <c r="CF17" s="176"/>
      <c r="CG17" s="176"/>
      <c r="CH17" s="176"/>
      <c r="CI17" s="176"/>
      <c r="CJ17" s="176"/>
      <c r="CK17" s="176"/>
      <c r="CL17" s="176"/>
      <c r="CM17" s="176"/>
      <c r="CN17" s="176"/>
      <c r="CO17" s="176"/>
      <c r="CP17" s="176"/>
      <c r="CQ17" s="176"/>
      <c r="CR17" s="176"/>
      <c r="CS17" s="176"/>
      <c r="CT17" s="176"/>
      <c r="CU17" s="176"/>
      <c r="CV17" s="176"/>
      <c r="CW17" s="176"/>
      <c r="CX17" s="176"/>
      <c r="CY17" s="176"/>
      <c r="CZ17" s="176"/>
      <c r="DA17" s="176"/>
      <c r="DB17" s="176"/>
      <c r="DC17" s="176"/>
      <c r="DD17" s="176"/>
      <c r="DE17" s="176"/>
      <c r="DF17" s="176"/>
      <c r="DG17" s="176"/>
      <c r="DH17" s="176"/>
      <c r="DI17" s="176"/>
      <c r="DJ17" s="176"/>
      <c r="DK17" s="176"/>
      <c r="DL17" s="176"/>
      <c r="DM17" s="176"/>
      <c r="DN17" s="176"/>
      <c r="DO17" s="176"/>
      <c r="DP17" s="176"/>
      <c r="DQ17" s="176"/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  <c r="EB17" s="176"/>
      <c r="EC17" s="176"/>
      <c r="ED17" s="176"/>
      <c r="EE17" s="176"/>
      <c r="EF17" s="176"/>
      <c r="EG17" s="176"/>
      <c r="EH17" s="176"/>
    </row>
    <row r="18" spans="1:138" s="92" customFormat="1">
      <c r="A18"/>
      <c r="B18" t="s">
        <v>46</v>
      </c>
      <c r="C18"/>
      <c r="D18" s="19">
        <f>SUM(F18:DV18)</f>
        <v>104048017</v>
      </c>
      <c r="E18"/>
      <c r="F18" s="6">
        <f>IF(F13='Phase II - Summary'!$D$20,'Phase II - Summary'!$H$14,0)</f>
        <v>104048017</v>
      </c>
      <c r="G18" s="6">
        <f>IF(G13='[1]Summary Inputs'!$D$13,'[1]Summary Inputs'!I6,0)</f>
        <v>0</v>
      </c>
      <c r="H18" s="6">
        <f>IF(H13='[1]Summary Inputs'!$D$13,'[1]Summary Inputs'!J6,0)</f>
        <v>0</v>
      </c>
      <c r="I18" s="6">
        <f>IF(I13='[1]Summary Inputs'!$D$13,'[1]Summary Inputs'!K6,0)</f>
        <v>0</v>
      </c>
      <c r="J18" s="6">
        <f>IF(J13='[1]Summary Inputs'!$D$13,'[1]Summary Inputs'!L5,0)</f>
        <v>0</v>
      </c>
      <c r="K18" s="6">
        <f>IF(K13='[1]Summary Inputs'!$D$13,'[1]Summary Inputs'!#REF!,0)</f>
        <v>0</v>
      </c>
      <c r="L18" s="6">
        <f>IF(L13='[1]Summary Inputs'!$D$13,'[1]Summary Inputs'!I22,0)</f>
        <v>0</v>
      </c>
      <c r="M18" s="6">
        <f>IF(M13='[1]Summary Inputs'!$D$13,'[1]Summary Inputs'!K22,0)</f>
        <v>0</v>
      </c>
      <c r="N18" s="6">
        <f>IF(N13='[1]Summary Inputs'!$D$13,'[1]Summary Inputs'!#REF!,0)</f>
        <v>0</v>
      </c>
      <c r="O18" s="6">
        <f>IF(O13='[1]Summary Inputs'!$D$13,'[1]Summary Inputs'!M14,0)</f>
        <v>0</v>
      </c>
      <c r="P18" s="6">
        <f>IF(P13='[1]Summary Inputs'!$D$13,'[1]Summary Inputs'!O14,0)</f>
        <v>0</v>
      </c>
      <c r="Q18" s="6">
        <f>IF(Q13='[1]Summary Inputs'!$D$13,'[1]Summary Inputs'!R14,0)</f>
        <v>0</v>
      </c>
      <c r="R18" s="6">
        <f>IF(R13='[1]Summary Inputs'!$D$13,'[1]Summary Inputs'!#REF!,0)</f>
        <v>0</v>
      </c>
      <c r="S18" s="6">
        <f>IF(S13='[1]Summary Inputs'!$D$13,'[1]Summary Inputs'!#REF!,0)</f>
        <v>0</v>
      </c>
      <c r="T18" s="6">
        <f>IF(T13='[1]Summary Inputs'!$D$13,'[1]Summary Inputs'!#REF!,0)</f>
        <v>0</v>
      </c>
      <c r="U18" s="6">
        <f>IF(U13='[1]Summary Inputs'!$D$13,'[1]Summary Inputs'!#REF!,0)</f>
        <v>0</v>
      </c>
      <c r="V18" s="6">
        <f>IF(V13='[1]Summary Inputs'!$D$13,'[1]Summary Inputs'!#REF!,0)</f>
        <v>0</v>
      </c>
      <c r="W18" s="6">
        <f>IF(W13='[1]Summary Inputs'!$D$13,'[1]Summary Inputs'!#REF!,0)</f>
        <v>0</v>
      </c>
      <c r="X18" s="6">
        <f>IF(X13='[1]Summary Inputs'!$D$13,'[1]Summary Inputs'!#REF!,0)</f>
        <v>0</v>
      </c>
      <c r="Y18" s="6">
        <f>IF(Y13='[1]Summary Inputs'!$D$13,'[1]Summary Inputs'!#REF!,0)</f>
        <v>0</v>
      </c>
      <c r="Z18" s="6">
        <f>IF(Z13='[1]Summary Inputs'!$D$13,'[1]Summary Inputs'!#REF!,0)</f>
        <v>0</v>
      </c>
      <c r="AA18" s="6">
        <f>IF(AA13='[1]Summary Inputs'!$D$13,'[1]Summary Inputs'!#REF!,0)</f>
        <v>0</v>
      </c>
      <c r="AB18" s="6">
        <f>IF(AB13='[1]Summary Inputs'!$D$13,'[1]Summary Inputs'!#REF!,0)</f>
        <v>0</v>
      </c>
      <c r="AC18" s="6">
        <f>IF(AC13='[1]Summary Inputs'!$D$13,'[1]Summary Inputs'!#REF!,0)</f>
        <v>0</v>
      </c>
      <c r="AD18" s="6">
        <f>IF(AD13='[1]Summary Inputs'!$D$13,'[1]Summary Inputs'!#REF!,0)</f>
        <v>0</v>
      </c>
      <c r="AE18" s="6">
        <f>IF(AE13='[1]Summary Inputs'!$D$13,'[1]Summary Inputs'!#REF!,0)</f>
        <v>0</v>
      </c>
      <c r="AF18" s="6">
        <f>IF(AF13='[1]Summary Inputs'!$D$13,'[1]Summary Inputs'!#REF!,0)</f>
        <v>0</v>
      </c>
      <c r="AG18" s="6">
        <f>IF(AG13='[1]Summary Inputs'!$D$13,'[1]Summary Inputs'!#REF!,0)</f>
        <v>0</v>
      </c>
      <c r="AH18" s="6">
        <f>IF(AH13='[1]Summary Inputs'!$D$13,'[1]Summary Inputs'!#REF!,0)</f>
        <v>0</v>
      </c>
      <c r="AI18" s="6">
        <f>IF(AI13='[1]Summary Inputs'!$D$13,'[1]Summary Inputs'!#REF!,0)</f>
        <v>0</v>
      </c>
      <c r="AJ18" s="6">
        <f>IF(AJ13='[1]Summary Inputs'!$D$13,'[1]Summary Inputs'!#REF!,0)</f>
        <v>0</v>
      </c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</row>
    <row r="19" spans="1:138" s="92" customFormat="1">
      <c r="A19"/>
      <c r="B19" t="s">
        <v>395</v>
      </c>
      <c r="C19"/>
      <c r="D19" s="19">
        <f t="shared" ref="D19:D22" si="2">SUM(F19:DV19)</f>
        <v>300573753</v>
      </c>
      <c r="E19"/>
      <c r="F19" s="6">
        <f>F16*'Phase II - Summary'!$H$15</f>
        <v>0</v>
      </c>
      <c r="G19" s="6">
        <f>G16*'Phase II - Summary'!$H$15</f>
        <v>0</v>
      </c>
      <c r="H19" s="6">
        <f>H16*'Phase II - Summary'!$H$15</f>
        <v>0</v>
      </c>
      <c r="I19" s="6">
        <f>I16*'Phase II - Summary'!$H$15</f>
        <v>0</v>
      </c>
      <c r="J19" s="6">
        <f>J16*'Phase II - Summary'!$H$15</f>
        <v>0</v>
      </c>
      <c r="K19" s="6">
        <f>K16*'Phase II - Summary'!$H$15</f>
        <v>100191251</v>
      </c>
      <c r="L19" s="6">
        <f>L16*'Phase II - Summary'!$H$15</f>
        <v>100191251</v>
      </c>
      <c r="M19" s="6">
        <f>M16*'Phase II - Summary'!$H$15</f>
        <v>100191251</v>
      </c>
      <c r="N19" s="6">
        <f>N16*'Phase II - Summary'!$H$15</f>
        <v>0</v>
      </c>
      <c r="O19" s="6">
        <f>O16*'Phase II - Summary'!$H$15</f>
        <v>0</v>
      </c>
      <c r="P19" s="6">
        <f>P16*'Phase II - Summary'!$H$15</f>
        <v>0</v>
      </c>
      <c r="Q19" s="6">
        <f>Q16*'Phase II - Summary'!$H$15</f>
        <v>0</v>
      </c>
      <c r="R19" s="6">
        <f>R16*'Phase II - Summary'!$H$15</f>
        <v>0</v>
      </c>
      <c r="S19" s="6">
        <f>S16*'Phase II - Summary'!$H$15</f>
        <v>0</v>
      </c>
      <c r="T19" s="6">
        <f>T16*'Phase II - Summary'!$H$15</f>
        <v>0</v>
      </c>
      <c r="U19" s="6">
        <f>U16*'Phase II - Summary'!$H$15</f>
        <v>0</v>
      </c>
      <c r="V19" s="6">
        <f>V16*'Phase II - Summary'!$H$15</f>
        <v>0</v>
      </c>
      <c r="W19" s="6">
        <f>W16*'Phase II - Summary'!$H$15</f>
        <v>0</v>
      </c>
      <c r="X19" s="6">
        <f>X16*'Phase II - Summary'!$H$15</f>
        <v>0</v>
      </c>
      <c r="Y19" s="6">
        <f>Y16*'Phase II - Summary'!$H$15</f>
        <v>0</v>
      </c>
      <c r="Z19" s="6">
        <f>Z16*'Phase II - Summary'!$H$15</f>
        <v>0</v>
      </c>
      <c r="AA19" s="6">
        <f>AA16*'Phase II - Summary'!$H$15</f>
        <v>0</v>
      </c>
      <c r="AB19" s="6">
        <f>AB16*'Phase II - Summary'!$H$15</f>
        <v>0</v>
      </c>
      <c r="AC19" s="6">
        <f>AC16*'Phase II - Summary'!$H$15</f>
        <v>0</v>
      </c>
      <c r="AD19" s="6">
        <f>AD16*'Phase II - Summary'!$H$15</f>
        <v>0</v>
      </c>
      <c r="AE19" s="6">
        <f>AE16*'Phase II - Summary'!$H$15</f>
        <v>0</v>
      </c>
      <c r="AF19" s="6">
        <f>AF16*'Phase II - Summary'!$H$15</f>
        <v>0</v>
      </c>
      <c r="AG19" s="6">
        <f>AG16*'Phase II - Summary'!$H$15</f>
        <v>0</v>
      </c>
      <c r="AH19" s="6">
        <f>AH16*'Phase II - Summary'!$H$15</f>
        <v>0</v>
      </c>
      <c r="AI19" s="6">
        <f>AI16*'Phase II - Summary'!$H$15</f>
        <v>0</v>
      </c>
      <c r="AJ19" s="6">
        <f>AJ16*'Phase II - Summary'!$H$15</f>
        <v>0</v>
      </c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</row>
    <row r="20" spans="1:138" s="92" customFormat="1">
      <c r="A20"/>
      <c r="B20" t="s">
        <v>410</v>
      </c>
      <c r="C20"/>
      <c r="D20" s="19">
        <f t="shared" si="2"/>
        <v>75143438.25</v>
      </c>
      <c r="E20"/>
      <c r="F20" s="6">
        <f>F$16*'Phase II - Summary'!$H$16</f>
        <v>0</v>
      </c>
      <c r="G20" s="6">
        <f>G16*'Phase II - Summary'!$H$16</f>
        <v>0</v>
      </c>
      <c r="H20" s="6">
        <f>H16*'Phase II - Summary'!$H$16</f>
        <v>0</v>
      </c>
      <c r="I20" s="6">
        <f>I16*'Phase II - Summary'!$H$16</f>
        <v>0</v>
      </c>
      <c r="J20" s="6">
        <f>J16*'Phase II - Summary'!$H$16</f>
        <v>0</v>
      </c>
      <c r="K20" s="6">
        <f>K16*'Phase II - Summary'!$H$16</f>
        <v>25047812.75</v>
      </c>
      <c r="L20" s="6">
        <f>L16*'Phase II - Summary'!$H$16</f>
        <v>25047812.75</v>
      </c>
      <c r="M20" s="6">
        <f>M16*'Phase II - Summary'!$H$16</f>
        <v>25047812.75</v>
      </c>
      <c r="N20" s="6">
        <f>N16*'Phase II - Summary'!$H$16</f>
        <v>0</v>
      </c>
      <c r="O20" s="6">
        <f>O16*'Phase II - Summary'!$H$16</f>
        <v>0</v>
      </c>
      <c r="P20" s="6">
        <f>P16*'Phase II - Summary'!$H$16</f>
        <v>0</v>
      </c>
      <c r="Q20" s="6">
        <f>Q16*'Phase II - Summary'!$H$16</f>
        <v>0</v>
      </c>
      <c r="R20" s="6">
        <f>R16*'Phase II - Summary'!$H$16</f>
        <v>0</v>
      </c>
      <c r="S20" s="6">
        <f>S16*'Phase II - Summary'!$H$16</f>
        <v>0</v>
      </c>
      <c r="T20" s="6">
        <f>T16*'Phase II - Summary'!$H$16</f>
        <v>0</v>
      </c>
      <c r="U20" s="6">
        <f>U16*'Phase II - Summary'!$H$16</f>
        <v>0</v>
      </c>
      <c r="V20" s="6">
        <f>V16*'Phase II - Summary'!$H$16</f>
        <v>0</v>
      </c>
      <c r="W20" s="6">
        <f>W16*'Phase II - Summary'!$H$16</f>
        <v>0</v>
      </c>
      <c r="X20" s="6">
        <f>X16*'Phase II - Summary'!$H$16</f>
        <v>0</v>
      </c>
      <c r="Y20" s="6">
        <f>Y16*'Phase II - Summary'!$H$16</f>
        <v>0</v>
      </c>
      <c r="Z20" s="6">
        <f>Z16*'Phase II - Summary'!$H$16</f>
        <v>0</v>
      </c>
      <c r="AA20" s="6">
        <f>AA16*'Phase II - Summary'!$H$16</f>
        <v>0</v>
      </c>
      <c r="AB20" s="6">
        <f>AB16*'Phase II - Summary'!$H$16</f>
        <v>0</v>
      </c>
      <c r="AC20" s="6">
        <f>AC16*'Phase II - Summary'!$H$16</f>
        <v>0</v>
      </c>
      <c r="AD20" s="6">
        <f>AD16*'Phase II - Summary'!$H$16</f>
        <v>0</v>
      </c>
      <c r="AE20" s="6">
        <f>AE16*'Phase II - Summary'!$H$16</f>
        <v>0</v>
      </c>
      <c r="AF20" s="6">
        <f>AF16*'Phase II - Summary'!$H$16</f>
        <v>0</v>
      </c>
      <c r="AG20" s="6">
        <f>AG16*'Phase II - Summary'!$H$16</f>
        <v>0</v>
      </c>
      <c r="AH20" s="6">
        <f>AH16*'Phase II - Summary'!$H$16</f>
        <v>0</v>
      </c>
      <c r="AI20" s="6">
        <f>AI16*'Phase II - Summary'!$H$16</f>
        <v>0</v>
      </c>
      <c r="AJ20" s="6">
        <f>AJ16*'Phase II - Summary'!$H$16</f>
        <v>0</v>
      </c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</row>
    <row r="21" spans="1:138" s="92" customFormat="1">
      <c r="A21"/>
      <c r="B21" s="1" t="s">
        <v>9</v>
      </c>
      <c r="C21"/>
      <c r="D21" s="19">
        <f t="shared" si="2"/>
        <v>16651268.91069033</v>
      </c>
      <c r="E21"/>
      <c r="F21" s="6">
        <f>F$16*'Infrastructure Budget'!$G$37</f>
        <v>0</v>
      </c>
      <c r="G21" s="6">
        <f>G$16*'Infrastructure Budget'!$G$37</f>
        <v>0</v>
      </c>
      <c r="H21" s="6">
        <f>H$16*'Infrastructure Budget'!$G$37</f>
        <v>0</v>
      </c>
      <c r="I21" s="6">
        <f>I$16*'Infrastructure Budget'!$G$37</f>
        <v>0</v>
      </c>
      <c r="J21" s="6">
        <f>J$16*'Infrastructure Budget'!$G$37</f>
        <v>0</v>
      </c>
      <c r="K21" s="6">
        <f>K$16*'Infrastructure Budget'!$G$37</f>
        <v>5550422.97023011</v>
      </c>
      <c r="L21" s="6">
        <f>L$16*'Infrastructure Budget'!$G$37</f>
        <v>5550422.97023011</v>
      </c>
      <c r="M21" s="6">
        <f>M$16*'Infrastructure Budget'!$G$37</f>
        <v>5550422.97023011</v>
      </c>
      <c r="N21" s="6">
        <f>N$16*'Infrastructure Budget'!$G$37</f>
        <v>0</v>
      </c>
      <c r="O21" s="6">
        <f>O$16*'Infrastructure Budget'!$G$37</f>
        <v>0</v>
      </c>
      <c r="P21" s="6">
        <f>P$16*'Infrastructure Budget'!$G$37</f>
        <v>0</v>
      </c>
      <c r="Q21" s="6">
        <f>Q$16*'Infrastructure Budget'!$G$37</f>
        <v>0</v>
      </c>
      <c r="R21" s="6">
        <f>R$16*'Infrastructure Budget'!$G$37</f>
        <v>0</v>
      </c>
      <c r="S21" s="6">
        <f>S$16*'Infrastructure Budget'!$G$37</f>
        <v>0</v>
      </c>
      <c r="T21" s="6">
        <f>T$16*'Infrastructure Budget'!$G$37</f>
        <v>0</v>
      </c>
      <c r="U21" s="6">
        <f>U$16*'Infrastructure Budget'!$G$37</f>
        <v>0</v>
      </c>
      <c r="V21" s="6">
        <f>V$16*'Infrastructure Budget'!$G$37</f>
        <v>0</v>
      </c>
      <c r="W21" s="6">
        <f>W$16*'Infrastructure Budget'!$G$37</f>
        <v>0</v>
      </c>
      <c r="X21" s="6">
        <f>X$16*'Infrastructure Budget'!$G$37</f>
        <v>0</v>
      </c>
      <c r="Y21" s="6">
        <f>Y$16*'Infrastructure Budget'!$G$37</f>
        <v>0</v>
      </c>
      <c r="Z21" s="6">
        <f>Z$16*'Infrastructure Budget'!$G$37</f>
        <v>0</v>
      </c>
      <c r="AA21" s="6">
        <f>AA$16*'Infrastructure Budget'!$G$37</f>
        <v>0</v>
      </c>
      <c r="AB21" s="6">
        <f>AB$16*'Infrastructure Budget'!$G$37</f>
        <v>0</v>
      </c>
      <c r="AC21" s="6">
        <f>AC$16*'Infrastructure Budget'!$G$37</f>
        <v>0</v>
      </c>
      <c r="AD21" s="6">
        <f>AD$16*'Infrastructure Budget'!$G$37</f>
        <v>0</v>
      </c>
      <c r="AE21" s="6">
        <f>AE$16*'Infrastructure Budget'!$G$37</f>
        <v>0</v>
      </c>
      <c r="AF21" s="6">
        <f>AF$16*'Infrastructure Budget'!$G$37</f>
        <v>0</v>
      </c>
      <c r="AG21" s="6">
        <f>AG$16*'Infrastructure Budget'!$G$37</f>
        <v>0</v>
      </c>
      <c r="AH21" s="6">
        <f>AH$16*'Infrastructure Budget'!$G$37</f>
        <v>0</v>
      </c>
      <c r="AI21" s="6">
        <f>AI$16*'Infrastructure Budget'!$G$37</f>
        <v>0</v>
      </c>
      <c r="AJ21" s="6">
        <f>AJ$16*'Infrastructure Budget'!$G$37</f>
        <v>0</v>
      </c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</row>
    <row r="22" spans="1:138" s="92" customFormat="1">
      <c r="A22"/>
      <c r="B22" s="38" t="s">
        <v>3</v>
      </c>
      <c r="C22" s="38"/>
      <c r="D22" s="53">
        <f t="shared" si="2"/>
        <v>496416477.16069031</v>
      </c>
      <c r="E22" s="38"/>
      <c r="F22" s="54">
        <f>SUM(F18:F21)</f>
        <v>104048017</v>
      </c>
      <c r="G22" s="54">
        <f t="shared" ref="G22:AJ22" si="3">SUM(G18:G21)</f>
        <v>0</v>
      </c>
      <c r="H22" s="54">
        <f t="shared" si="3"/>
        <v>0</v>
      </c>
      <c r="I22" s="54">
        <f t="shared" si="3"/>
        <v>0</v>
      </c>
      <c r="J22" s="54">
        <f t="shared" si="3"/>
        <v>0</v>
      </c>
      <c r="K22" s="54">
        <f t="shared" si="3"/>
        <v>130789486.7202301</v>
      </c>
      <c r="L22" s="54">
        <f t="shared" si="3"/>
        <v>130789486.7202301</v>
      </c>
      <c r="M22" s="54">
        <f t="shared" si="3"/>
        <v>130789486.7202301</v>
      </c>
      <c r="N22" s="54">
        <f t="shared" si="3"/>
        <v>0</v>
      </c>
      <c r="O22" s="54">
        <f t="shared" si="3"/>
        <v>0</v>
      </c>
      <c r="P22" s="54">
        <f t="shared" si="3"/>
        <v>0</v>
      </c>
      <c r="Q22" s="54">
        <f t="shared" si="3"/>
        <v>0</v>
      </c>
      <c r="R22" s="54">
        <f t="shared" si="3"/>
        <v>0</v>
      </c>
      <c r="S22" s="54">
        <f t="shared" si="3"/>
        <v>0</v>
      </c>
      <c r="T22" s="54">
        <f t="shared" si="3"/>
        <v>0</v>
      </c>
      <c r="U22" s="54">
        <f t="shared" si="3"/>
        <v>0</v>
      </c>
      <c r="V22" s="54">
        <f t="shared" si="3"/>
        <v>0</v>
      </c>
      <c r="W22" s="54">
        <f t="shared" si="3"/>
        <v>0</v>
      </c>
      <c r="X22" s="54">
        <f t="shared" si="3"/>
        <v>0</v>
      </c>
      <c r="Y22" s="54">
        <f t="shared" si="3"/>
        <v>0</v>
      </c>
      <c r="Z22" s="54">
        <f t="shared" si="3"/>
        <v>0</v>
      </c>
      <c r="AA22" s="54">
        <f t="shared" si="3"/>
        <v>0</v>
      </c>
      <c r="AB22" s="54">
        <f t="shared" si="3"/>
        <v>0</v>
      </c>
      <c r="AC22" s="54">
        <f t="shared" si="3"/>
        <v>0</v>
      </c>
      <c r="AD22" s="54">
        <f t="shared" si="3"/>
        <v>0</v>
      </c>
      <c r="AE22" s="54">
        <f t="shared" si="3"/>
        <v>0</v>
      </c>
      <c r="AF22" s="54">
        <f t="shared" si="3"/>
        <v>0</v>
      </c>
      <c r="AG22" s="54">
        <f t="shared" si="3"/>
        <v>0</v>
      </c>
      <c r="AH22" s="54">
        <f t="shared" si="3"/>
        <v>0</v>
      </c>
      <c r="AI22" s="54">
        <f t="shared" si="3"/>
        <v>0</v>
      </c>
      <c r="AJ22" s="54">
        <f t="shared" si="3"/>
        <v>0</v>
      </c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</row>
    <row r="23" spans="1:138" s="92" customFormat="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</row>
    <row r="24" spans="1:138" s="92" customFormat="1">
      <c r="A24"/>
      <c r="B24" s="206" t="s">
        <v>411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 s="177"/>
      <c r="AL24" s="177"/>
      <c r="AM24" s="177"/>
      <c r="AN24" s="177"/>
      <c r="AO24" s="177"/>
      <c r="AP24" s="177"/>
      <c r="AQ24" s="177"/>
    </row>
    <row r="25" spans="1:138">
      <c r="B25" t="s">
        <v>627</v>
      </c>
      <c r="F25" s="168">
        <f>IF(F13&gt;='Phase II - Summary'!$D$23,'Phase II - CF MF Market Rental'!C53,0)</f>
        <v>0</v>
      </c>
      <c r="G25" s="168">
        <f>IF(G13&gt;='Phase II - Summary'!$D$23,'Phase II - CF MF Market Rental'!D53,0)</f>
        <v>0</v>
      </c>
      <c r="H25" s="168">
        <f>IF(H13&gt;='Phase II - Summary'!$D$23,'Phase II - CF MF Market Rental'!E53,0)</f>
        <v>0</v>
      </c>
      <c r="I25" s="168">
        <f>IF(I13&gt;='Phase II - Summary'!$D$23,'Phase II - CF MF Market Rental'!F53,0)</f>
        <v>0</v>
      </c>
      <c r="J25" s="168">
        <f>IF(J13&gt;='Phase II - Summary'!$D$23,'Phase II - CF MF Market Rental'!G53,0)</f>
        <v>0</v>
      </c>
      <c r="K25" s="168">
        <f>IF(K13&gt;='Phase II - Summary'!$D$23,'Phase II - CF MF Market Rental'!H53,0)</f>
        <v>0</v>
      </c>
      <c r="L25" s="168">
        <f>IF(L13&gt;='Phase II - Summary'!$D$23,'Phase II - CF MF Market Rental'!I53,0)</f>
        <v>0</v>
      </c>
      <c r="M25" s="168">
        <f>IF(M13&gt;='Phase II - Summary'!$D$23,'Phase II - CF MF Market Rental'!J53,0)</f>
        <v>0</v>
      </c>
      <c r="N25" s="168">
        <f>IF(N13&gt;='Phase II - Summary'!$D$23,'Phase II - CF MF Market Rental'!K53,0)</f>
        <v>7817796.2645661496</v>
      </c>
      <c r="O25" s="168">
        <f>IF(O13&gt;='Phase II - Summary'!$D$23,'Phase II - CF MF Market Rental'!L53,0)</f>
        <v>8052330.1525031347</v>
      </c>
      <c r="P25" s="168">
        <f>IF(P13&gt;='Phase II - Summary'!$D$23,'Phase II - CF MF Market Rental'!M53,0)</f>
        <v>8293900.0570782265</v>
      </c>
      <c r="Q25" s="168">
        <f>IF(Q13&gt;='Phase II - Summary'!$D$23,'Phase II - CF MF Market Rental'!N53,0)</f>
        <v>8542717.0587905757</v>
      </c>
      <c r="R25" s="168">
        <f>IF(R13&gt;='Phase II - Summary'!$D$23,'Phase II - CF MF Market Rental'!O53,0)</f>
        <v>8798998.5705542937</v>
      </c>
      <c r="S25" s="168">
        <f>IF(S13&gt;='Phase II - Summary'!$D$23,'Phase II - CF MF Market Rental'!P53,0)</f>
        <v>9062968.5276709218</v>
      </c>
      <c r="T25" s="168">
        <f>IF(T13&gt;='Phase II - Summary'!$D$23,'Phase II - CF MF Market Rental'!Q53,0)</f>
        <v>9334857.5835010484</v>
      </c>
      <c r="U25" s="168">
        <f>IF(U13&gt;='Phase II - Summary'!$D$23,'Phase II - CF MF Market Rental'!R53,0)</f>
        <v>9614903.3110060804</v>
      </c>
      <c r="V25" s="168">
        <f>IF(V13&gt;='Phase II - Summary'!$D$23,'Phase II - CF MF Market Rental'!S53,0)</f>
        <v>9903350.4103362616</v>
      </c>
      <c r="W25" s="168">
        <f>IF(W13&gt;='Phase II - Summary'!$D$23,'Phase II - CF MF Market Rental'!T53,0)</f>
        <v>10200450.922646347</v>
      </c>
      <c r="X25" s="168">
        <f>IF(X13&gt;='Phase II - Summary'!$D$23,'Phase II - CF MF Market Rental'!U53,0)</f>
        <v>10506464.450325737</v>
      </c>
      <c r="Y25" s="168">
        <f>IF(Y13&gt;='Phase II - Summary'!$D$23,'Phase II - CF MF Market Rental'!V53,0)</f>
        <v>10821658.383835511</v>
      </c>
      <c r="Z25" s="168">
        <f>IF(Z13&gt;='Phase II - Summary'!$D$23,'Phase II - CF MF Market Rental'!W53,0)</f>
        <v>11146308.135350579</v>
      </c>
      <c r="AA25" s="168">
        <f>IF(AA13&gt;='Phase II - Summary'!$D$23,'Phase II - CF MF Market Rental'!X53,0)</f>
        <v>11480697.379411094</v>
      </c>
      <c r="AB25" s="168">
        <f>IF(AB13&gt;='Phase II - Summary'!$D$23,'Phase II - CF MF Market Rental'!Y53,0)</f>
        <v>11825118.300793426</v>
      </c>
      <c r="AC25" s="168">
        <f>IF(AC13&gt;='Phase II - Summary'!$D$23,'Phase II - CF MF Market Rental'!Z53,0)</f>
        <v>12179871.849817229</v>
      </c>
      <c r="AD25" s="168">
        <f>IF(AD13&gt;='Phase II - Summary'!$D$23,'Phase II - CF MF Market Rental'!AA53,0)</f>
        <v>12545268.005311748</v>
      </c>
      <c r="AE25" s="168">
        <f>IF(AE13&gt;='Phase II - Summary'!$D$23,'Phase II - CF MF Market Rental'!AB53,0)</f>
        <v>12921626.0454711</v>
      </c>
      <c r="AF25" s="168">
        <f>IF(AF13&gt;='Phase II - Summary'!$D$23,'Phase II - CF MF Market Rental'!AC53,0)</f>
        <v>13309274.826835228</v>
      </c>
      <c r="AG25" s="168">
        <f>IF(AG13&gt;='Phase II - Summary'!$D$23,'Phase II - CF MF Market Rental'!AD53,0)</f>
        <v>13708553.071640287</v>
      </c>
      <c r="AH25" s="168">
        <f>IF(AH13&gt;='Phase II - Summary'!$D$23,'Phase II - CF MF Market Rental'!AE53,0)</f>
        <v>14119809.663789498</v>
      </c>
      <c r="AI25" s="168">
        <f>IF(AI13&gt;='Phase II - Summary'!$D$23,'Phase II - CF MF Market Rental'!AF53,0)</f>
        <v>14543403.953703182</v>
      </c>
      <c r="AJ25" s="168">
        <f>IF(AJ13&gt;='Phase II - Summary'!$D$23,'Phase II - CF MF Market Rental'!AG53,0)</f>
        <v>14979706.072314275</v>
      </c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170"/>
      <c r="BL25" s="170"/>
      <c r="BM25" s="170"/>
      <c r="BN25" s="170"/>
      <c r="BO25" s="170"/>
      <c r="BP25" s="170"/>
      <c r="BQ25" s="170"/>
      <c r="BR25" s="170"/>
      <c r="BS25" s="170"/>
      <c r="BT25" s="170"/>
      <c r="BU25" s="170"/>
      <c r="BV25" s="170"/>
      <c r="BW25" s="170"/>
      <c r="BX25" s="170"/>
      <c r="BY25" s="170"/>
      <c r="BZ25" s="170"/>
      <c r="CA25" s="170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170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  <c r="EE25" s="170"/>
      <c r="EF25" s="170"/>
      <c r="EG25" s="170"/>
      <c r="EH25" s="170"/>
    </row>
    <row r="26" spans="1:138">
      <c r="B26" s="1" t="s">
        <v>653</v>
      </c>
      <c r="F26" s="168">
        <f>IF(F13&gt;='Phase II - Summary'!$D$23,'Phase II - CF Affordable Rental'!C52,0)</f>
        <v>0</v>
      </c>
      <c r="G26" s="168">
        <f>IF(G13&gt;='Phase II - Summary'!$D$23,'Phase II - CF Affordable Rental'!D52,0)</f>
        <v>0</v>
      </c>
      <c r="H26" s="168">
        <f>IF(H13&gt;='Phase II - Summary'!$D$23,'Phase II - CF Affordable Rental'!E52,0)</f>
        <v>0</v>
      </c>
      <c r="I26" s="168">
        <f>IF(I13&gt;='Phase II - Summary'!$D$23,'Phase II - CF Affordable Rental'!F52,0)</f>
        <v>0</v>
      </c>
      <c r="J26" s="168">
        <f>IF(J13&gt;='Phase II - Summary'!$D$23,'Phase II - CF Affordable Rental'!G52,0)</f>
        <v>0</v>
      </c>
      <c r="K26" s="168">
        <f>IF(K13&gt;='Phase II - Summary'!$D$23,'Phase II - CF Affordable Rental'!H52,0)</f>
        <v>0</v>
      </c>
      <c r="L26" s="168">
        <f>IF(L13&gt;='Phase II - Summary'!$D$23,'Phase II - CF Affordable Rental'!I52,0)</f>
        <v>0</v>
      </c>
      <c r="M26" s="168">
        <f>IF(M13&gt;='Phase II - Summary'!$D$23,'Phase II - CF Affordable Rental'!J52,0)</f>
        <v>0</v>
      </c>
      <c r="N26" s="168">
        <f>IF(N13&gt;='Phase II - Summary'!$D$23,'Phase II - CF Affordable Rental'!K52,0)</f>
        <v>1575779.2695359997</v>
      </c>
      <c r="O26" s="168">
        <f>IF(O13&gt;='Phase II - Summary'!$D$23,'Phase II - CF Affordable Rental'!L52,0)</f>
        <v>1607294.8549267198</v>
      </c>
      <c r="P26" s="168">
        <f>IF(P13&gt;='Phase II - Summary'!$D$23,'Phase II - CF Affordable Rental'!M52,0)</f>
        <v>1639440.7520252545</v>
      </c>
      <c r="Q26" s="168">
        <f>IF(Q13&gt;='Phase II - Summary'!$D$23,'Phase II - CF Affordable Rental'!N52,0)</f>
        <v>1672229.5670657596</v>
      </c>
      <c r="R26" s="168">
        <f>IF(R13&gt;='Phase II - Summary'!$D$23,'Phase II - CF Affordable Rental'!O52,0)</f>
        <v>1705674.1584070742</v>
      </c>
      <c r="S26" s="168">
        <f>IF(S13&gt;='Phase II - Summary'!$D$23,'Phase II - CF Affordable Rental'!P52,0)</f>
        <v>1739787.6415752163</v>
      </c>
      <c r="T26" s="168">
        <f>IF(T13&gt;='Phase II - Summary'!$D$23,'Phase II - CF Affordable Rental'!Q52,0)</f>
        <v>1774583.3944067205</v>
      </c>
      <c r="U26" s="168">
        <f>IF(U13&gt;='Phase II - Summary'!$D$23,'Phase II - CF Affordable Rental'!R52,0)</f>
        <v>1810075.0622948548</v>
      </c>
      <c r="V26" s="168">
        <f>IF(V13&gt;='Phase II - Summary'!$D$23,'Phase II - CF Affordable Rental'!S52,0)</f>
        <v>1846276.5635407516</v>
      </c>
      <c r="W26" s="168">
        <f>IF(W13&gt;='Phase II - Summary'!$D$23,'Phase II - CF Affordable Rental'!T52,0)</f>
        <v>1883202.0948115671</v>
      </c>
      <c r="X26" s="168">
        <f>IF(X13&gt;='Phase II - Summary'!$D$23,'Phase II - CF Affordable Rental'!U52,0)</f>
        <v>1920866.1367077981</v>
      </c>
      <c r="Y26" s="168">
        <f>IF(Y13&gt;='Phase II - Summary'!$D$23,'Phase II - CF Affordable Rental'!V52,0)</f>
        <v>1959283.4594419543</v>
      </c>
      <c r="Z26" s="168">
        <f>IF(Z13&gt;='Phase II - Summary'!$D$23,'Phase II - CF Affordable Rental'!W52,0)</f>
        <v>1998469.128630793</v>
      </c>
      <c r="AA26" s="168">
        <f>IF(AA13&gt;='Phase II - Summary'!$D$23,'Phase II - CF Affordable Rental'!X52,0)</f>
        <v>2038438.5112034092</v>
      </c>
      <c r="AB26" s="168">
        <f>IF(AB13&gt;='Phase II - Summary'!$D$23,'Phase II - CF Affordable Rental'!Y52,0)</f>
        <v>2079207.2814274773</v>
      </c>
      <c r="AC26" s="168">
        <f>IF(AC13&gt;='Phase II - Summary'!$D$23,'Phase II - CF Affordable Rental'!Z52,0)</f>
        <v>2120791.4270560266</v>
      </c>
      <c r="AD26" s="168">
        <f>IF(AD13&gt;='Phase II - Summary'!$D$23,'Phase II - CF Affordable Rental'!AA52,0)</f>
        <v>2163207.2555971472</v>
      </c>
      <c r="AE26" s="168">
        <f>IF(AE13&gt;='Phase II - Summary'!$D$23,'Phase II - CF Affordable Rental'!AB52,0)</f>
        <v>2206471.4007090903</v>
      </c>
      <c r="AF26" s="168">
        <f>IF(AF13&gt;='Phase II - Summary'!$D$23,'Phase II - CF Affordable Rental'!AC52,0)</f>
        <v>2250600.8287232723</v>
      </c>
      <c r="AG26" s="168">
        <f>IF(AG13&gt;='Phase II - Summary'!$D$23,'Phase II - CF Affordable Rental'!AD52,0)</f>
        <v>2295612.8452977375</v>
      </c>
      <c r="AH26" s="168">
        <f>IF(AH13&gt;='Phase II - Summary'!$D$23,'Phase II - CF Affordable Rental'!AE52,0)</f>
        <v>2341525.1022036923</v>
      </c>
      <c r="AI26" s="168">
        <f>IF(AI13&gt;='Phase II - Summary'!$D$23,'Phase II - CF Affordable Rental'!AF52,0)</f>
        <v>2388355.6042477656</v>
      </c>
      <c r="AJ26" s="168">
        <f>IF(AJ13&gt;='Phase II - Summary'!$D$23,'Phase II - CF Affordable Rental'!AG52,0)</f>
        <v>2436122.7163327211</v>
      </c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 s="170"/>
      <c r="CC26" s="170"/>
      <c r="CD26" s="170"/>
      <c r="CE26" s="170"/>
      <c r="CF26" s="170"/>
      <c r="CG26" s="170"/>
      <c r="CH26" s="170"/>
      <c r="CI26" s="170"/>
      <c r="CJ26" s="170"/>
      <c r="CK26" s="170"/>
      <c r="CL26" s="170"/>
      <c r="CM26" s="170"/>
      <c r="CN26" s="170"/>
      <c r="CO26" s="170"/>
      <c r="CP26" s="170"/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0"/>
      <c r="DB26" s="170"/>
      <c r="DC26" s="170"/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0"/>
      <c r="DO26" s="170"/>
      <c r="DP26" s="170"/>
      <c r="DQ26" s="170"/>
      <c r="DR26" s="170"/>
      <c r="DS26" s="170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  <c r="EE26" s="170"/>
      <c r="EF26" s="170"/>
      <c r="EG26" s="170"/>
      <c r="EH26" s="170"/>
    </row>
    <row r="27" spans="1:138" ht="14.4">
      <c r="B27" t="s">
        <v>628</v>
      </c>
      <c r="C27" s="5"/>
      <c r="D27" s="5"/>
      <c r="E27" s="5"/>
      <c r="F27" s="168">
        <f>IF(F13&gt;='Phase II - Summary'!$D$23,'Phase II - CF Commercial'!C43,0)</f>
        <v>0</v>
      </c>
      <c r="G27" s="168">
        <f>IF(G13&gt;='Phase II - Summary'!$D$23,'Phase II - CF Commercial'!D43,0)</f>
        <v>0</v>
      </c>
      <c r="H27" s="168">
        <f>IF(H13&gt;='Phase II - Summary'!$D$23,'Phase II - CF Commercial'!E43,0)</f>
        <v>0</v>
      </c>
      <c r="I27" s="168">
        <f>IF(I13&gt;='Phase II - Summary'!$D$23,'Phase II - CF Commercial'!F43,0)</f>
        <v>0</v>
      </c>
      <c r="J27" s="168">
        <f>IF(J13&gt;='Phase II - Summary'!$D$23,'Phase II - CF Commercial'!G43,0)</f>
        <v>0</v>
      </c>
      <c r="K27" s="168">
        <f>IF(K13&gt;='Phase II - Summary'!$D$23,'Phase II - CF Commercial'!H43,0)</f>
        <v>0</v>
      </c>
      <c r="L27" s="168">
        <f>IF(L13&gt;='Phase II - Summary'!$D$23,'Phase II - CF Commercial'!I43,0)</f>
        <v>0</v>
      </c>
      <c r="M27" s="168">
        <f>IF(M13&gt;='Phase II - Summary'!$D$23,'Phase II - CF Commercial'!J43,0)</f>
        <v>0</v>
      </c>
      <c r="N27" s="168">
        <f>IF(N13&gt;='Phase II - Summary'!$D$23,'Phase II - CF Commercial'!K43,0)</f>
        <v>27158562.218189541</v>
      </c>
      <c r="O27" s="168">
        <f>IF(O13&gt;='Phase II - Summary'!$D$23,'Phase II - CF Commercial'!L43,0)</f>
        <v>27973319.084735222</v>
      </c>
      <c r="P27" s="168">
        <f>IF(P13&gt;='Phase II - Summary'!$D$23,'Phase II - CF Commercial'!M43,0)</f>
        <v>28812518.657277279</v>
      </c>
      <c r="Q27" s="168">
        <f>IF(Q13&gt;='Phase II - Summary'!$D$23,'Phase II - CF Commercial'!N43,0)</f>
        <v>29676894.216995601</v>
      </c>
      <c r="R27" s="168">
        <f>IF(R13&gt;='Phase II - Summary'!$D$23,'Phase II - CF Commercial'!O43,0)</f>
        <v>30567201.043505467</v>
      </c>
      <c r="S27" s="168">
        <f>IF(S13&gt;='Phase II - Summary'!$D$23,'Phase II - CF Commercial'!P43,0)</f>
        <v>31484217.074810628</v>
      </c>
      <c r="T27" s="168">
        <f>IF(T13&gt;='Phase II - Summary'!$D$23,'Phase II - CF Commercial'!Q43,0)</f>
        <v>32428743.587054946</v>
      </c>
      <c r="U27" s="168">
        <f>IF(U13&gt;='Phase II - Summary'!$D$23,'Phase II - CF Commercial'!R43,0)</f>
        <v>33401605.894666597</v>
      </c>
      <c r="V27" s="168">
        <f>IF(V13&gt;='Phase II - Summary'!$D$23,'Phase II - CF Commercial'!S43,0)</f>
        <v>34403654.071506597</v>
      </c>
      <c r="W27" s="168">
        <f>IF(W13&gt;='Phase II - Summary'!$D$23,'Phase II - CF Commercial'!T43,0)</f>
        <v>35435763.693651788</v>
      </c>
      <c r="X27" s="168">
        <f>IF(X13&gt;='Phase II - Summary'!$D$23,'Phase II - CF Commercial'!U43,0)</f>
        <v>36498836.604461342</v>
      </c>
      <c r="Y27" s="168">
        <f>IF(Y13&gt;='Phase II - Summary'!$D$23,'Phase II - CF Commercial'!V43,0)</f>
        <v>37593801.702595182</v>
      </c>
      <c r="Z27" s="168">
        <f>IF(Z13&gt;='Phase II - Summary'!$D$23,'Phase II - CF Commercial'!W43,0)</f>
        <v>38721615.753673047</v>
      </c>
      <c r="AA27" s="168">
        <f>IF(AA13&gt;='Phase II - Summary'!$D$23,'Phase II - CF Commercial'!X43,0)</f>
        <v>39883264.22628323</v>
      </c>
      <c r="AB27" s="168">
        <f>IF(AB13&gt;='Phase II - Summary'!$D$23,'Phase II - CF Commercial'!Y43,0)</f>
        <v>41079762.153071724</v>
      </c>
      <c r="AC27" s="168">
        <f>IF(AC13&gt;='Phase II - Summary'!$D$23,'Phase II - CF Commercial'!Z43,0)</f>
        <v>42312155.017663874</v>
      </c>
      <c r="AD27" s="168">
        <f>IF(AD13&gt;='Phase II - Summary'!$D$23,'Phase II - CF Commercial'!AA43,0)</f>
        <v>43581519.668193787</v>
      </c>
      <c r="AE27" s="168">
        <f>IF(AE13&gt;='Phase II - Summary'!$D$23,'Phase II - CF Commercial'!AB43,0)</f>
        <v>44888965.258239605</v>
      </c>
      <c r="AF27" s="168">
        <f>IF(AF13&gt;='Phase II - Summary'!$D$23,'Phase II - CF Commercial'!AC43,0)</f>
        <v>46235634.215986788</v>
      </c>
      <c r="AG27" s="168">
        <f>IF(AG13&gt;='Phase II - Summary'!$D$23,'Phase II - CF Commercial'!AD43,0)</f>
        <v>47622703.242466398</v>
      </c>
      <c r="AH27" s="168">
        <f>IF(AH13&gt;='Phase II - Summary'!$D$23,'Phase II - CF Commercial'!AE43,0)</f>
        <v>49051384.339740388</v>
      </c>
      <c r="AI27" s="168">
        <f>IF(AI13&gt;='Phase II - Summary'!$D$23,'Phase II - CF Commercial'!AF43,0)</f>
        <v>50522925.869932592</v>
      </c>
      <c r="AJ27" s="168">
        <f>IF(AJ13&gt;='Phase II - Summary'!$D$23,'Phase II - CF Commercial'!AG43,0)</f>
        <v>52038613.646030568</v>
      </c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178"/>
      <c r="DH27" s="178"/>
      <c r="DI27" s="178"/>
      <c r="DJ27" s="178"/>
      <c r="DK27" s="178"/>
      <c r="DL27" s="178"/>
      <c r="DM27" s="178"/>
      <c r="DN27" s="178"/>
      <c r="DO27" s="178"/>
      <c r="DP27" s="178"/>
      <c r="DQ27" s="178"/>
      <c r="DR27" s="178"/>
      <c r="DS27" s="178"/>
      <c r="DT27" s="178"/>
      <c r="DU27" s="178"/>
      <c r="DV27" s="178"/>
      <c r="DW27" s="178"/>
      <c r="DX27" s="178"/>
      <c r="DY27" s="178"/>
      <c r="DZ27" s="178"/>
      <c r="EA27" s="178"/>
      <c r="EB27" s="178"/>
      <c r="EC27" s="178"/>
      <c r="ED27" s="178"/>
      <c r="EE27" s="178"/>
      <c r="EF27" s="178"/>
      <c r="EG27" s="178"/>
      <c r="EH27" s="178"/>
    </row>
    <row r="28" spans="1:138" ht="14.4">
      <c r="B28" t="s">
        <v>26</v>
      </c>
      <c r="C28" s="5"/>
      <c r="D28" s="5"/>
      <c r="E28" s="5"/>
      <c r="F28" s="168">
        <f>IF(F13&gt;='Phase II - Summary'!$D$23,'Phase II - CF Hotel'!C48,0)</f>
        <v>0</v>
      </c>
      <c r="G28" s="168">
        <f>IF(G13&gt;='Phase II - Summary'!$D$23,'Phase II - CF Hotel'!D48,0)</f>
        <v>0</v>
      </c>
      <c r="H28" s="168">
        <f>IF(H13&gt;='Phase II - Summary'!$D$23,'Phase II - CF Hotel'!E48,0)</f>
        <v>0</v>
      </c>
      <c r="I28" s="168">
        <f>IF(I13&gt;='Phase II - Summary'!$D$23,'Phase II - CF Hotel'!F48,0)</f>
        <v>0</v>
      </c>
      <c r="J28" s="168">
        <f>IF(J13&gt;='Phase II - Summary'!$D$23,'Phase II - CF Hotel'!G48,0)</f>
        <v>0</v>
      </c>
      <c r="K28" s="168">
        <f>IF(K13&gt;='Phase II - Summary'!$D$23,'Phase II - CF Hotel'!H48,0)</f>
        <v>0</v>
      </c>
      <c r="L28" s="168">
        <f>IF(L13&gt;='Phase II - Summary'!$D$23,'Phase II - CF Hotel'!I48,0)</f>
        <v>0</v>
      </c>
      <c r="M28" s="168">
        <f>IF(M13&gt;='Phase II - Summary'!$D$23,'Phase II - CF Hotel'!J48,0)</f>
        <v>0</v>
      </c>
      <c r="N28" s="168">
        <f>IF(N13&gt;='Phase II - Summary'!$D$23,'Phase II - CF Hotel'!K48,0)</f>
        <v>12702051.429888504</v>
      </c>
      <c r="O28" s="168">
        <f>IF(O13&gt;='Phase II - Summary'!$D$23,'Phase II - CF Hotel'!L48,0)</f>
        <v>13001484.580154752</v>
      </c>
      <c r="P28" s="168">
        <f>IF(P13&gt;='Phase II - Summary'!$D$23,'Phase II - CF Hotel'!M48,0)</f>
        <v>13309900.72492899</v>
      </c>
      <c r="Q28" s="168">
        <f>IF(Q13&gt;='Phase II - Summary'!$D$23,'Phase II - CF Hotel'!N48,0)</f>
        <v>13627569.354046455</v>
      </c>
      <c r="R28" s="168">
        <f>IF(R13&gt;='Phase II - Summary'!$D$23,'Phase II - CF Hotel'!O48,0)</f>
        <v>13954768.042037444</v>
      </c>
      <c r="S28" s="168">
        <f>IF(S13&gt;='Phase II - Summary'!$D$23,'Phase II - CF Hotel'!P48,0)</f>
        <v>14291782.690668162</v>
      </c>
      <c r="T28" s="168">
        <f>IF(T13&gt;='Phase II - Summary'!$D$23,'Phase II - CF Hotel'!Q48,0)</f>
        <v>14638907.778757799</v>
      </c>
      <c r="U28" s="168">
        <f>IF(U13&gt;='Phase II - Summary'!$D$23,'Phase II - CF Hotel'!R48,0)</f>
        <v>14996446.61949013</v>
      </c>
      <c r="V28" s="168">
        <f>IF(V13&gt;='Phase II - Summary'!$D$23,'Phase II - CF Hotel'!S48,0)</f>
        <v>15364711.625444429</v>
      </c>
      <c r="W28" s="168">
        <f>IF(W13&gt;='Phase II - Summary'!$D$23,'Phase II - CF Hotel'!T48,0)</f>
        <v>15744024.581577355</v>
      </c>
      <c r="X28" s="168">
        <f>IF(X13&gt;='Phase II - Summary'!$D$23,'Phase II - CF Hotel'!U48,0)</f>
        <v>16134716.926394269</v>
      </c>
      <c r="Y28" s="168">
        <f>IF(Y13&gt;='Phase II - Summary'!$D$23,'Phase II - CF Hotel'!V48,0)</f>
        <v>16537130.041555692</v>
      </c>
      <c r="Z28" s="168">
        <f>IF(Z13&gt;='Phase II - Summary'!$D$23,'Phase II - CF Hotel'!W48,0)</f>
        <v>16951615.55017196</v>
      </c>
      <c r="AA28" s="168">
        <f>IF(AA13&gt;='Phase II - Summary'!$D$23,'Phase II - CF Hotel'!X48,0)</f>
        <v>17378535.624046713</v>
      </c>
      <c r="AB28" s="168">
        <f>IF(AB13&gt;='Phase II - Summary'!$D$23,'Phase II - CF Hotel'!Y48,0)</f>
        <v>17818263.300137706</v>
      </c>
      <c r="AC28" s="168">
        <f>IF(AC13&gt;='Phase II - Summary'!$D$23,'Phase II - CF Hotel'!Z48,0)</f>
        <v>18271182.806511436</v>
      </c>
      <c r="AD28" s="168">
        <f>IF(AD13&gt;='Phase II - Summary'!$D$23,'Phase II - CF Hotel'!AA48,0)</f>
        <v>18737689.898076374</v>
      </c>
      <c r="AE28" s="168">
        <f>IF(AE13&gt;='Phase II - Summary'!$D$23,'Phase II - CF Hotel'!AB48,0)</f>
        <v>19218192.202388261</v>
      </c>
      <c r="AF28" s="168">
        <f>IF(AF13&gt;='Phase II - Summary'!$D$23,'Phase II - CF Hotel'!AC48,0)</f>
        <v>19713109.575829498</v>
      </c>
      <c r="AG28" s="168">
        <f>IF(AG13&gt;='Phase II - Summary'!$D$23,'Phase II - CF Hotel'!AD48,0)</f>
        <v>20222874.470473979</v>
      </c>
      <c r="AH28" s="168">
        <f>IF(AH13&gt;='Phase II - Summary'!$D$23,'Phase II - CF Hotel'!AE48,0)</f>
        <v>20747932.311957795</v>
      </c>
      <c r="AI28" s="168">
        <f>IF(AI13&gt;='Phase II - Summary'!$D$23,'Phase II - CF Hotel'!AF48,0)</f>
        <v>21288741.888686124</v>
      </c>
      <c r="AJ28" s="168">
        <f>IF(AJ13&gt;='Phase II - Summary'!$D$23,'Phase II - CF Hotel'!AG48,0)</f>
        <v>21845775.752716299</v>
      </c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178"/>
      <c r="DH28" s="178"/>
      <c r="DI28" s="178"/>
      <c r="DJ28" s="178"/>
      <c r="DK28" s="178"/>
      <c r="DL28" s="178"/>
      <c r="DM28" s="178"/>
      <c r="DN28" s="178"/>
      <c r="DO28" s="178"/>
      <c r="DP28" s="178"/>
      <c r="DQ28" s="178"/>
      <c r="DR28" s="178"/>
      <c r="DS28" s="178"/>
      <c r="DT28" s="178"/>
      <c r="DU28" s="178"/>
      <c r="DV28" s="178"/>
      <c r="DW28" s="178"/>
      <c r="DX28" s="178"/>
      <c r="DY28" s="178"/>
      <c r="DZ28" s="178"/>
      <c r="EA28" s="178"/>
      <c r="EB28" s="178"/>
      <c r="EC28" s="178"/>
      <c r="ED28" s="178"/>
      <c r="EE28" s="178"/>
      <c r="EF28" s="178"/>
      <c r="EG28" s="178"/>
      <c r="EH28" s="178"/>
    </row>
    <row r="29" spans="1:138">
      <c r="B29" t="s">
        <v>25</v>
      </c>
      <c r="F29" s="168">
        <f>IF(F13&gt;='Phase II - Summary'!$D$23,'Phase II - CF Retail'!C45,0)</f>
        <v>0</v>
      </c>
      <c r="G29" s="168">
        <f>IF(G13&gt;='Phase II - Summary'!$D$23,'Phase II - CF Retail'!D45,0)</f>
        <v>0</v>
      </c>
      <c r="H29" s="168">
        <f>IF(H13&gt;='Phase II - Summary'!$D$23,'Phase II - CF Retail'!E45,0)</f>
        <v>0</v>
      </c>
      <c r="I29" s="168">
        <f>IF(I13&gt;='Phase II - Summary'!$D$23,'Phase II - CF Retail'!F45,0)</f>
        <v>0</v>
      </c>
      <c r="J29" s="168">
        <f>IF(J13&gt;='Phase II - Summary'!$D$23,'Phase II - CF Retail'!G45,0)</f>
        <v>0</v>
      </c>
      <c r="K29" s="168">
        <f>IF(K13&gt;='Phase II - Summary'!$D$23,'Phase II - CF Retail'!H45,0)</f>
        <v>0</v>
      </c>
      <c r="L29" s="168">
        <f>IF(L13&gt;='Phase II - Summary'!$D$23,'Phase II - CF Retail'!I45,0)</f>
        <v>0</v>
      </c>
      <c r="M29" s="168">
        <f>IF(M13&gt;='Phase II - Summary'!$D$23,'Phase II - CF Retail'!J45,0)</f>
        <v>0</v>
      </c>
      <c r="N29" s="168">
        <f>IF(N13&gt;='Phase II - Summary'!$D$23,'Phase II - CF Retail'!K45,0)</f>
        <v>6288389.9723979188</v>
      </c>
      <c r="O29" s="168">
        <f>IF(O13&gt;='Phase II - Summary'!$D$23,'Phase II - CF Retail'!L45,0)</f>
        <v>6477041.6715698559</v>
      </c>
      <c r="P29" s="168">
        <f>IF(P13&gt;='Phase II - Summary'!$D$23,'Phase II - CF Retail'!M45,0)</f>
        <v>6671352.9217169508</v>
      </c>
      <c r="Q29" s="168">
        <f>IF(Q13&gt;='Phase II - Summary'!$D$23,'Phase II - CF Retail'!N45,0)</f>
        <v>6871493.5093684606</v>
      </c>
      <c r="R29" s="168">
        <f>IF(R13&gt;='Phase II - Summary'!$D$23,'Phase II - CF Retail'!O45,0)</f>
        <v>7077638.3146495149</v>
      </c>
      <c r="S29" s="168">
        <f>IF(S13&gt;='Phase II - Summary'!$D$23,'Phase II - CF Retail'!P45,0)</f>
        <v>7289967.4640889997</v>
      </c>
      <c r="T29" s="168">
        <f>IF(T13&gt;='Phase II - Summary'!$D$23,'Phase II - CF Retail'!Q45,0)</f>
        <v>7508666.4880116694</v>
      </c>
      <c r="U29" s="168">
        <f>IF(U13&gt;='Phase II - Summary'!$D$23,'Phase II - CF Retail'!R45,0)</f>
        <v>7733926.4826520197</v>
      </c>
      <c r="V29" s="168">
        <f>IF(V13&gt;='Phase II - Summary'!$D$23,'Phase II - CF Retail'!S45,0)</f>
        <v>7965944.2771315798</v>
      </c>
      <c r="W29" s="168">
        <f>IF(W13&gt;='Phase II - Summary'!$D$23,'Phase II - CF Retail'!T45,0)</f>
        <v>8204922.6054455256</v>
      </c>
      <c r="X29" s="168">
        <f>IF(X13&gt;='Phase II - Summary'!$D$23,'Phase II - CF Retail'!U45,0)</f>
        <v>8451070.2836088911</v>
      </c>
      <c r="Y29" s="168">
        <f>IF(Y13&gt;='Phase II - Summary'!$D$23,'Phase II - CF Retail'!V45,0)</f>
        <v>8704602.3921171576</v>
      </c>
      <c r="Z29" s="168">
        <f>IF(Z13&gt;='Phase II - Summary'!$D$23,'Phase II - CF Retail'!W45,0)</f>
        <v>8965740.4638806731</v>
      </c>
      <c r="AA29" s="168">
        <f>IF(AA13&gt;='Phase II - Summary'!$D$23,'Phase II - CF Retail'!X45,0)</f>
        <v>9234712.677797094</v>
      </c>
      <c r="AB29" s="168">
        <f>IF(AB13&gt;='Phase II - Summary'!$D$23,'Phase II - CF Retail'!Y45,0)</f>
        <v>9511754.0581310056</v>
      </c>
      <c r="AC29" s="168">
        <f>IF(AC13&gt;='Phase II - Summary'!$D$23,'Phase II - CF Retail'!Z45,0)</f>
        <v>9797106.6798749361</v>
      </c>
      <c r="AD29" s="168">
        <f>IF(AD13&gt;='Phase II - Summary'!$D$23,'Phase II - CF Retail'!AA45,0)</f>
        <v>10091019.880271183</v>
      </c>
      <c r="AE29" s="168">
        <f>IF(AE13&gt;='Phase II - Summary'!$D$23,'Phase II - CF Retail'!AB45,0)</f>
        <v>10393750.47667932</v>
      </c>
      <c r="AF29" s="168">
        <f>IF(AF13&gt;='Phase II - Summary'!$D$23,'Phase II - CF Retail'!AC45,0)</f>
        <v>10705562.990979698</v>
      </c>
      <c r="AG29" s="168">
        <f>IF(AG13&gt;='Phase II - Summary'!$D$23,'Phase II - CF Retail'!AD45,0)</f>
        <v>11026729.880709089</v>
      </c>
      <c r="AH29" s="168">
        <f>IF(AH13&gt;='Phase II - Summary'!$D$23,'Phase II - CF Retail'!AE45,0)</f>
        <v>11357531.777130364</v>
      </c>
      <c r="AI29" s="168">
        <f>IF(AI13&gt;='Phase II - Summary'!$D$23,'Phase II - CF Retail'!AF45,0)</f>
        <v>11698257.730444271</v>
      </c>
      <c r="AJ29" s="168">
        <f>IF(AJ13&gt;='Phase II - Summary'!$D$23,'Phase II - CF Retail'!AG45,0)</f>
        <v>12049205.462357599</v>
      </c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  <c r="EE29" s="170"/>
      <c r="EF29" s="170"/>
      <c r="EG29" s="170"/>
      <c r="EH29" s="170"/>
    </row>
    <row r="30" spans="1:138">
      <c r="B30" s="38" t="s">
        <v>630</v>
      </c>
      <c r="C30" s="38"/>
      <c r="D30" s="54"/>
      <c r="E30" s="38"/>
      <c r="F30" s="171">
        <f>SUM(F25:F29)</f>
        <v>0</v>
      </c>
      <c r="G30" s="171">
        <f t="shared" ref="G30:AJ30" si="4">SUM(G25:G29)</f>
        <v>0</v>
      </c>
      <c r="H30" s="171">
        <f t="shared" si="4"/>
        <v>0</v>
      </c>
      <c r="I30" s="171">
        <f t="shared" si="4"/>
        <v>0</v>
      </c>
      <c r="J30" s="171">
        <f t="shared" si="4"/>
        <v>0</v>
      </c>
      <c r="K30" s="171">
        <f t="shared" si="4"/>
        <v>0</v>
      </c>
      <c r="L30" s="171">
        <f t="shared" si="4"/>
        <v>0</v>
      </c>
      <c r="M30" s="171">
        <f t="shared" si="4"/>
        <v>0</v>
      </c>
      <c r="N30" s="171">
        <f t="shared" si="4"/>
        <v>55542579.154578112</v>
      </c>
      <c r="O30" s="171">
        <f t="shared" si="4"/>
        <v>57111470.343889683</v>
      </c>
      <c r="P30" s="171">
        <f t="shared" si="4"/>
        <v>58727113.113026701</v>
      </c>
      <c r="Q30" s="171">
        <f t="shared" si="4"/>
        <v>60390903.70626685</v>
      </c>
      <c r="R30" s="171">
        <f t="shared" si="4"/>
        <v>62104280.129153796</v>
      </c>
      <c r="S30" s="171">
        <f t="shared" si="4"/>
        <v>63868723.398813926</v>
      </c>
      <c r="T30" s="171">
        <f t="shared" si="4"/>
        <v>65685758.831732184</v>
      </c>
      <c r="U30" s="171">
        <f t="shared" si="4"/>
        <v>67556957.370109692</v>
      </c>
      <c r="V30" s="171">
        <f t="shared" si="4"/>
        <v>69483936.947959617</v>
      </c>
      <c r="W30" s="171">
        <f t="shared" si="4"/>
        <v>71468363.898132578</v>
      </c>
      <c r="X30" s="171">
        <f t="shared" si="4"/>
        <v>73511954.401498035</v>
      </c>
      <c r="Y30" s="171">
        <f t="shared" si="4"/>
        <v>75616475.979545489</v>
      </c>
      <c r="Z30" s="171">
        <f t="shared" si="4"/>
        <v>77783749.031707048</v>
      </c>
      <c r="AA30" s="171">
        <f t="shared" si="4"/>
        <v>80015648.418741539</v>
      </c>
      <c r="AB30" s="171">
        <f t="shared" si="4"/>
        <v>82314105.093561351</v>
      </c>
      <c r="AC30" s="171">
        <f t="shared" si="4"/>
        <v>84681107.780923501</v>
      </c>
      <c r="AD30" s="171">
        <f t="shared" si="4"/>
        <v>87118704.707450241</v>
      </c>
      <c r="AE30" s="171">
        <f t="shared" si="4"/>
        <v>89629005.383487374</v>
      </c>
      <c r="AF30" s="171">
        <f t="shared" si="4"/>
        <v>92214182.438354492</v>
      </c>
      <c r="AG30" s="171">
        <f t="shared" si="4"/>
        <v>94876473.510587484</v>
      </c>
      <c r="AH30" s="171">
        <f t="shared" si="4"/>
        <v>97618183.19482173</v>
      </c>
      <c r="AI30" s="171">
        <f t="shared" si="4"/>
        <v>100441685.04701392</v>
      </c>
      <c r="AJ30" s="171">
        <f t="shared" si="4"/>
        <v>103349423.64975147</v>
      </c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</row>
    <row r="31" spans="1:138">
      <c r="A31" s="167"/>
      <c r="B31" s="208"/>
      <c r="C31" s="167"/>
      <c r="D31" s="167"/>
      <c r="E31" s="167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  <c r="EE31" s="170"/>
      <c r="EF31" s="170"/>
      <c r="EG31" s="170"/>
      <c r="EH31" s="170"/>
    </row>
    <row r="32" spans="1:138">
      <c r="B32" s="206" t="s">
        <v>413</v>
      </c>
    </row>
    <row r="33" spans="2:138">
      <c r="B33" t="str">
        <f>B25</f>
        <v>Market Rate Rental</v>
      </c>
      <c r="F33" s="6">
        <f>IF(F13&gt;='Phase II - Summary'!$D$23,-SUM('Phase II - CF MF Market Rental'!C55:C57),0)</f>
        <v>0</v>
      </c>
      <c r="G33" s="6">
        <f>IF(G13&gt;='Phase II - Summary'!$D$23,-SUM('Phase II - CF MF Market Rental'!D55:D57),0)</f>
        <v>0</v>
      </c>
      <c r="H33" s="6">
        <f>IF(H13&gt;='Phase II - Summary'!$D$23,-SUM('Phase II - CF MF Market Rental'!E55:E57),0)</f>
        <v>0</v>
      </c>
      <c r="I33" s="6">
        <f>IF(I13&gt;='Phase II - Summary'!$D$23,-SUM('Phase II - CF MF Market Rental'!F55:F57),0)</f>
        <v>0</v>
      </c>
      <c r="J33" s="6">
        <f>IF(J13&gt;='Phase II - Summary'!$D$23,-SUM('Phase II - CF MF Market Rental'!G55:G57),0)</f>
        <v>0</v>
      </c>
      <c r="K33" s="6">
        <f>IF(K13&gt;='Phase II - Summary'!$D$23,-SUM('Phase II - CF MF Market Rental'!H55:H57),0)</f>
        <v>0</v>
      </c>
      <c r="L33" s="6">
        <f>IF(L13&gt;='Phase II - Summary'!$D$23,-SUM('Phase II - CF MF Market Rental'!I55:I57),0)</f>
        <v>0</v>
      </c>
      <c r="M33" s="6">
        <f>IF(M13&gt;='Phase II - Summary'!$D$23,-SUM('Phase II - CF MF Market Rental'!J55:J57),0)</f>
        <v>0</v>
      </c>
      <c r="N33" s="6">
        <f>IF(N13&gt;='Phase II - Summary'!$D$23,-SUM('Phase II - CF MF Market Rental'!K55:K57),0)</f>
        <v>3167445.3067727191</v>
      </c>
      <c r="O33" s="6">
        <f>IF(O13&gt;='Phase II - Summary'!$D$23,-SUM('Phase II - CF MF Market Rental'!L55:L57),0)</f>
        <v>3324497.1072344184</v>
      </c>
      <c r="P33" s="6">
        <f>IF(P13&gt;='Phase II - Summary'!$D$23,-SUM('Phase II - CF MF Market Rental'!M55:M57),0)</f>
        <v>3489399.1008376474</v>
      </c>
      <c r="Q33" s="6">
        <f>IF(Q13&gt;='Phase II - Summary'!$D$23,-SUM('Phase II - CF MF Market Rental'!N55:N57),0)</f>
        <v>3662545.6085165171</v>
      </c>
      <c r="R33" s="6">
        <f>IF(R13&gt;='Phase II - Summary'!$D$23,-SUM('Phase II - CF MF Market Rental'!O55:O57),0)</f>
        <v>3844350.816879231</v>
      </c>
      <c r="S33" s="6">
        <f>IF(S13&gt;='Phase II - Summary'!$D$23,-SUM('Phase II - CF MF Market Rental'!P55:P57),0)</f>
        <v>4035249.7808022522</v>
      </c>
      <c r="T33" s="6">
        <f>IF(T13&gt;='Phase II - Summary'!$D$23,-SUM('Phase II - CF MF Market Rental'!Q55:Q57),0)</f>
        <v>4235699.4766774448</v>
      </c>
      <c r="U33" s="6">
        <f>IF(U13&gt;='Phase II - Summary'!$D$23,-SUM('Phase II - CF MF Market Rental'!R55:R57),0)</f>
        <v>4446179.908872921</v>
      </c>
      <c r="V33" s="6">
        <f>IF(V13&gt;='Phase II - Summary'!$D$23,-SUM('Phase II - CF MF Market Rental'!S55:S57),0)</f>
        <v>4667195.2720977552</v>
      </c>
      <c r="W33" s="6">
        <f>IF(W13&gt;='Phase II - Summary'!$D$23,-SUM('Phase II - CF MF Market Rental'!T55:T57),0)</f>
        <v>4899275.1724968432</v>
      </c>
      <c r="X33" s="6">
        <f>IF(X13&gt;='Phase II - Summary'!$D$23,-SUM('Phase II - CF MF Market Rental'!U55:U57),0)</f>
        <v>5142975.9104450522</v>
      </c>
      <c r="Y33" s="6">
        <f>IF(Y13&gt;='Phase II - Summary'!$D$23,-SUM('Phase II - CF MF Market Rental'!V55:V57),0)</f>
        <v>5398881.8281600401</v>
      </c>
      <c r="Z33" s="6">
        <f>IF(Z13&gt;='Phase II - Summary'!$D$23,-SUM('Phase II - CF MF Market Rental'!W55:W57),0)</f>
        <v>5667606.7254107967</v>
      </c>
      <c r="AA33" s="6">
        <f>IF(AA13&gt;='Phase II - Summary'!$D$23,-SUM('Phase II - CF MF Market Rental'!X55:X57),0)</f>
        <v>5949795.3467648188</v>
      </c>
      <c r="AB33" s="6">
        <f>IF(AB13&gt;='Phase II - Summary'!$D$23,-SUM('Phase II - CF MF Market Rental'!Y55:Y57),0)</f>
        <v>6246124.9439908005</v>
      </c>
      <c r="AC33" s="6">
        <f>IF(AC13&gt;='Phase II - Summary'!$D$23,-SUM('Phase II - CF MF Market Rental'!Z55:Z57),0)</f>
        <v>6557306.9174168082</v>
      </c>
      <c r="AD33" s="6">
        <f>IF(AD13&gt;='Phase II - Summary'!$D$23,-SUM('Phase II - CF MF Market Rental'!AA55:AA57),0)</f>
        <v>6884088.5402359758</v>
      </c>
      <c r="AE33" s="6">
        <f>IF(AE13&gt;='Phase II - Summary'!$D$23,-SUM('Phase II - CF MF Market Rental'!AB55:AB57),0)</f>
        <v>7227254.7699537268</v>
      </c>
      <c r="AF33" s="6">
        <f>IF(AF13&gt;='Phase II - Summary'!$D$23,-SUM('Phase II - CF MF Market Rental'!AC55:AC57),0)</f>
        <v>7587630.1513826484</v>
      </c>
      <c r="AG33" s="6">
        <f>IF(AG13&gt;='Phase II - Summary'!$D$23,-SUM('Phase II - CF MF Market Rental'!AD55:AD57),0)</f>
        <v>7966080.8158139559</v>
      </c>
      <c r="AH33" s="6">
        <f>IF(AH13&gt;='Phase II - Summary'!$D$23,-SUM('Phase II - CF MF Market Rental'!AE55:AE57),0)</f>
        <v>8363516.581228625</v>
      </c>
      <c r="AI33" s="6">
        <f>IF(AI13&gt;='Phase II - Summary'!$D$23,-SUM('Phase II - CF MF Market Rental'!AF55:AF57),0)</f>
        <v>8780893.1586573143</v>
      </c>
      <c r="AJ33" s="6">
        <f>IF(AJ13&gt;='Phase II - Summary'!$D$23,-SUM('Phase II - CF MF Market Rental'!AG55:AG57),0)</f>
        <v>9219214.4700564463</v>
      </c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  <c r="CY33" s="170"/>
      <c r="CZ33" s="170"/>
      <c r="DA33" s="170"/>
      <c r="DB33" s="170"/>
      <c r="DC33" s="170"/>
      <c r="DD33" s="170"/>
      <c r="DE33" s="170"/>
      <c r="DF33" s="170"/>
      <c r="DG33" s="170"/>
      <c r="DH33" s="170"/>
      <c r="DI33" s="170"/>
      <c r="DJ33" s="170"/>
      <c r="DK33" s="170"/>
      <c r="DL33" s="170"/>
      <c r="DM33" s="170"/>
      <c r="DN33" s="170"/>
      <c r="DO33" s="170"/>
      <c r="DP33" s="170"/>
      <c r="DQ33" s="170"/>
      <c r="DR33" s="170"/>
      <c r="DS33" s="170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  <c r="EE33" s="170"/>
      <c r="EF33" s="170"/>
      <c r="EG33" s="170"/>
      <c r="EH33" s="170"/>
    </row>
    <row r="34" spans="2:138">
      <c r="B34" s="1" t="s">
        <v>653</v>
      </c>
      <c r="F34" s="6">
        <f>IF(F13&gt;='Phase II - Summary'!$D$23,-SUM('Phase II - CF Affordable Rental'!C54:C56),0)</f>
        <v>0</v>
      </c>
      <c r="G34" s="6">
        <f>IF(G13&gt;='Phase II - Summary'!$D$23,-SUM('Phase II - CF Affordable Rental'!D54:D56),0)</f>
        <v>0</v>
      </c>
      <c r="H34" s="6">
        <f>IF(H13&gt;='Phase II - Summary'!$D$23,-SUM('Phase II - CF Affordable Rental'!E54:E56),0)</f>
        <v>0</v>
      </c>
      <c r="I34" s="6">
        <f>IF(I13&gt;='Phase II - Summary'!$D$23,-SUM('Phase II - CF Affordable Rental'!F54:F56),0)</f>
        <v>0</v>
      </c>
      <c r="J34" s="6">
        <f>IF(J13&gt;='Phase II - Summary'!$D$23,-SUM('Phase II - CF Affordable Rental'!G54:G56),0)</f>
        <v>0</v>
      </c>
      <c r="K34" s="6">
        <f>IF(K13&gt;='Phase II - Summary'!$D$23,-SUM('Phase II - CF Affordable Rental'!H54:H56),0)</f>
        <v>0</v>
      </c>
      <c r="L34" s="6">
        <f>IF(L13&gt;='Phase II - Summary'!$D$23,-SUM('Phase II - CF Affordable Rental'!I54:I56),0)</f>
        <v>0</v>
      </c>
      <c r="M34" s="6">
        <f>IF(M13&gt;='Phase II - Summary'!$D$23,-SUM('Phase II - CF Affordable Rental'!J54:J56),0)</f>
        <v>0</v>
      </c>
      <c r="N34" s="6">
        <f>IF(N13&gt;='Phase II - Summary'!$D$23,-SUM('Phase II - CF Affordable Rental'!K54:K56),0)</f>
        <v>633518.22953439329</v>
      </c>
      <c r="O34" s="6">
        <f>IF(O13&gt;='Phase II - Summary'!$D$23,-SUM('Phase II - CF Affordable Rental'!L54:L56),0)</f>
        <v>658469.44806561212</v>
      </c>
      <c r="P34" s="6">
        <f>IF(P13&gt;='Phase II - Summary'!$D$23,-SUM('Phase II - CF Affordable Rental'!M54:M56),0)</f>
        <v>684415.83746665297</v>
      </c>
      <c r="Q34" s="6">
        <f>IF(Q13&gt;='Phase II - Summary'!$D$23,-SUM('Phase II - CF Affordable Rental'!N54:N56),0)</f>
        <v>711397.34547347936</v>
      </c>
      <c r="R34" s="6">
        <f>IF(R13&gt;='Phase II - Summary'!$D$23,-SUM('Phase II - CF Affordable Rental'!O54:O56),0)</f>
        <v>739455.52856724465</v>
      </c>
      <c r="S34" s="6">
        <f>IF(S13&gt;='Phase II - Summary'!$D$23,-SUM('Phase II - CF Affordable Rental'!P54:P56),0)</f>
        <v>768633.61686473165</v>
      </c>
      <c r="T34" s="6">
        <f>IF(T13&gt;='Phase II - Summary'!$D$23,-SUM('Phase II - CF Affordable Rental'!Q54:Q56),0)</f>
        <v>798976.58162830409</v>
      </c>
      <c r="U34" s="6">
        <f>IF(U13&gt;='Phase II - Summary'!$D$23,-SUM('Phase II - CF Affordable Rental'!R54:R56),0)</f>
        <v>830531.20550116955</v>
      </c>
      <c r="V34" s="6">
        <f>IF(V13&gt;='Phase II - Summary'!$D$23,-SUM('Phase II - CF Affordable Rental'!S54:S56),0)</f>
        <v>863346.15557800024</v>
      </c>
      <c r="W34" s="6">
        <f>IF(W13&gt;='Phase II - Summary'!$D$23,-SUM('Phase II - CF Affordable Rental'!T54:T56),0)</f>
        <v>897472.05942542723</v>
      </c>
      <c r="X34" s="6">
        <f>IF(X13&gt;='Phase II - Summary'!$D$23,-SUM('Phase II - CF Affordable Rental'!U54:U56),0)</f>
        <v>932961.58417153114</v>
      </c>
      <c r="Y34" s="6">
        <f>IF(Y13&gt;='Phase II - Summary'!$D$23,-SUM('Phase II - CF Affordable Rental'!V54:V56),0)</f>
        <v>969869.51878828427</v>
      </c>
      <c r="Z34" s="6">
        <f>IF(Z13&gt;='Phase II - Summary'!$D$23,-SUM('Phase II - CF Affordable Rental'!W54:W56),0)</f>
        <v>1008252.8596958785</v>
      </c>
      <c r="AA34" s="6">
        <f>IF(AA13&gt;='Phase II - Summary'!$D$23,-SUM('Phase II - CF Affordable Rental'!X54:X56),0)</f>
        <v>1048170.8998231108</v>
      </c>
      <c r="AB34" s="6">
        <f>IF(AB13&gt;='Phase II - Summary'!$D$23,-SUM('Phase II - CF Affordable Rental'!Y54:Y56),0)</f>
        <v>1089685.3212633936</v>
      </c>
      <c r="AC34" s="6">
        <f>IF(AC13&gt;='Phase II - Summary'!$D$23,-SUM('Phase II - CF Affordable Rental'!Z54:Z56),0)</f>
        <v>1132860.2916716118</v>
      </c>
      <c r="AD34" s="6">
        <f>IF(AD13&gt;='Phase II - Summary'!$D$23,-SUM('Phase II - CF Affordable Rental'!AA54:AA56),0)</f>
        <v>1177762.5645529062</v>
      </c>
      <c r="AE34" s="6">
        <f>IF(AE13&gt;='Phase II - Summary'!$D$23,-SUM('Phase II - CF Affordable Rental'!AB54:AB56),0)</f>
        <v>1224461.5836005602</v>
      </c>
      <c r="AF34" s="6">
        <f>IF(AF13&gt;='Phase II - Summary'!$D$23,-SUM('Phase II - CF Affordable Rental'!AC54:AC56),0)</f>
        <v>1273029.5912465334</v>
      </c>
      <c r="AG34" s="6">
        <f>IF(AG13&gt;='Phase II - Summary'!$D$23,-SUM('Phase II - CF Affordable Rental'!AD54:AD56),0)</f>
        <v>1323541.7415947744</v>
      </c>
      <c r="AH34" s="6">
        <f>IF(AH13&gt;='Phase II - Summary'!$D$23,-SUM('Phase II - CF Affordable Rental'!AE54:AE56),0)</f>
        <v>1376076.2179143215</v>
      </c>
      <c r="AI34" s="6">
        <f>IF(AI13&gt;='Phase II - Summary'!$D$23,-SUM('Phase II - CF Affordable Rental'!AF54:AF56),0)</f>
        <v>1430714.3548763606</v>
      </c>
      <c r="AJ34" s="6">
        <f>IF(AJ13&gt;='Phase II - Summary'!$D$23,-SUM('Phase II - CF Affordable Rental'!AG54:AG56),0)</f>
        <v>1487540.7657268324</v>
      </c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  <c r="CR34" s="170"/>
      <c r="CS34" s="170"/>
      <c r="CT34" s="170"/>
      <c r="CU34" s="170"/>
      <c r="CV34" s="170"/>
      <c r="CW34" s="170"/>
      <c r="CX34" s="170"/>
      <c r="CY34" s="170"/>
      <c r="CZ34" s="170"/>
      <c r="DA34" s="170"/>
      <c r="DB34" s="170"/>
      <c r="DC34" s="170"/>
      <c r="DD34" s="170"/>
      <c r="DE34" s="170"/>
      <c r="DF34" s="170"/>
      <c r="DG34" s="170"/>
      <c r="DH34" s="170"/>
      <c r="DI34" s="170"/>
      <c r="DJ34" s="170"/>
      <c r="DK34" s="170"/>
      <c r="DL34" s="170"/>
      <c r="DM34" s="170"/>
      <c r="DN34" s="170"/>
      <c r="DO34" s="170"/>
      <c r="DP34" s="170"/>
      <c r="DQ34" s="170"/>
      <c r="DR34" s="170"/>
      <c r="DS34" s="170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  <c r="EE34" s="170"/>
      <c r="EF34" s="170"/>
      <c r="EG34" s="170"/>
      <c r="EH34" s="170"/>
    </row>
    <row r="35" spans="2:138">
      <c r="B35" t="str">
        <f>B27</f>
        <v>Commercial</v>
      </c>
      <c r="F35" s="6">
        <f>IF(F13&gt;='Phase II - Summary'!$D$23,'Phase II - CF Commercial'!C51-SUM('Phase II - CF Commercial'!C56:C57),0)</f>
        <v>0</v>
      </c>
      <c r="G35" s="6">
        <f>IF(G13&gt;='Phase II - Summary'!$D$23,'Phase II - CF Commercial'!D51-SUM('Phase II - CF Commercial'!D56:D57),0)</f>
        <v>0</v>
      </c>
      <c r="H35" s="6">
        <f>IF(H13&gt;='Phase II - Summary'!$D$23,'Phase II - CF Commercial'!E51-SUM('Phase II - CF Commercial'!E56:E57),0)</f>
        <v>0</v>
      </c>
      <c r="I35" s="6">
        <f>IF(I13&gt;='Phase II - Summary'!$D$23,'Phase II - CF Commercial'!F51-SUM('Phase II - CF Commercial'!F56:F57),0)</f>
        <v>0</v>
      </c>
      <c r="J35" s="6">
        <f>IF(J13&gt;='Phase II - Summary'!$D$23,'Phase II - CF Commercial'!G51-SUM('Phase II - CF Commercial'!G56:G57),0)</f>
        <v>0</v>
      </c>
      <c r="K35" s="6">
        <f>IF(K13&gt;='Phase II - Summary'!$D$23,'Phase II - CF Commercial'!H51-SUM('Phase II - CF Commercial'!H56:H57),0)</f>
        <v>0</v>
      </c>
      <c r="L35" s="6">
        <f>IF(L13&gt;='Phase II - Summary'!$D$23,'Phase II - CF Commercial'!I51-SUM('Phase II - CF Commercial'!I56:I57),0)</f>
        <v>0</v>
      </c>
      <c r="M35" s="6">
        <f>IF(M13&gt;='Phase II - Summary'!$D$23,'Phase II - CF Commercial'!J51-SUM('Phase II - CF Commercial'!J56:J57),0)</f>
        <v>0</v>
      </c>
      <c r="N35" s="6">
        <f>IF(N13&gt;='Phase II - Summary'!$D$23,'Phase II - CF Commercial'!K51-SUM('Phase II - CF Commercial'!K56:K57),0)</f>
        <v>6270051.3628947409</v>
      </c>
      <c r="O35" s="6">
        <f>IF(O13&gt;='Phase II - Summary'!$D$23,'Phase II - CF Commercial'!L51-SUM('Phase II - CF Commercial'!L56:L57),0)</f>
        <v>6404505.244225366</v>
      </c>
      <c r="P35" s="6">
        <f>IF(P13&gt;='Phase II - Summary'!$D$23,'Phase II - CF Commercial'!M51-SUM('Phase II - CF Commercial'!M56:M57),0)</f>
        <v>6541919.7888047853</v>
      </c>
      <c r="Q35" s="6">
        <f>IF(Q13&gt;='Phase II - Summary'!$D$23,'Phase II - CF Commercial'!N51-SUM('Phase II - CF Commercial'!N56:N57),0)</f>
        <v>6682362.35746664</v>
      </c>
      <c r="R35" s="6">
        <f>IF(R13&gt;='Phase II - Summary'!$D$23,'Phase II - CF Commercial'!O51-SUM('Phase II - CF Commercial'!O56:O57),0)</f>
        <v>6825901.902688303</v>
      </c>
      <c r="S35" s="6">
        <f>IF(S13&gt;='Phase II - Summary'!$D$23,'Phase II - CF Commercial'!P51-SUM('Phase II - CF Commercial'!P56:P57),0)</f>
        <v>6972609.0077565722</v>
      </c>
      <c r="T35" s="6">
        <f>IF(T13&gt;='Phase II - Summary'!$D$23,'Phase II - CF Commercial'!Q51-SUM('Phase II - CF Commercial'!Q56:Q57),0)</f>
        <v>7122555.9269366404</v>
      </c>
      <c r="U35" s="6">
        <f>IF(U13&gt;='Phase II - Summary'!$D$23,'Phase II - CF Commercial'!R51-SUM('Phase II - CF Commercial'!R56:R57),0)</f>
        <v>7275816.6266710591</v>
      </c>
      <c r="V35" s="6">
        <f>IF(V13&gt;='Phase II - Summary'!$D$23,'Phase II - CF Commercial'!S51-SUM('Phase II - CF Commercial'!S56:S57),0)</f>
        <v>7432466.8278360348</v>
      </c>
      <c r="W35" s="6">
        <f>IF(W13&gt;='Phase II - Summary'!$D$23,'Phase II - CF Commercial'!T51-SUM('Phase II - CF Commercial'!T56:T57),0)</f>
        <v>7592584.049083258</v>
      </c>
      <c r="X35" s="6">
        <f>IF(X13&gt;='Phase II - Summary'!$D$23,'Phase II - CF Commercial'!U51-SUM('Phase II - CF Commercial'!U56:U57),0)</f>
        <v>7756247.6512961406</v>
      </c>
      <c r="Y35" s="6">
        <f>IF(Y13&gt;='Phase II - Summary'!$D$23,'Phase II - CF Commercial'!V51-SUM('Phase II - CF Commercial'!V56:V57),0)</f>
        <v>7923538.8831902165</v>
      </c>
      <c r="Z35" s="6">
        <f>IF(Z13&gt;='Phase II - Summary'!$D$23,'Phase II - CF Commercial'!W51-SUM('Phase II - CF Commercial'!W56:W57),0)</f>
        <v>8094540.9280882189</v>
      </c>
      <c r="AA35" s="6">
        <f>IF(AA13&gt;='Phase II - Summary'!$D$23,'Phase II - CF Commercial'!X51-SUM('Phase II - CF Commercial'!X56:X57),0)</f>
        <v>8269338.9519012077</v>
      </c>
      <c r="AB35" s="6">
        <f>IF(AB13&gt;='Phase II - Summary'!$D$23,'Phase II - CF Commercial'!Y51-SUM('Phase II - CF Commercial'!Y56:Y57),0)</f>
        <v>8448020.1523479931</v>
      </c>
      <c r="AC35" s="6">
        <f>IF(AC13&gt;='Phase II - Summary'!$D$23,'Phase II - CF Commercial'!Z51-SUM('Phase II - CF Commercial'!Z56:Z57),0)</f>
        <v>8630673.8094459772</v>
      </c>
      <c r="AD35" s="6">
        <f>IF(AD13&gt;='Phase II - Summary'!$D$23,'Phase II - CF Commercial'!AA51-SUM('Phase II - CF Commercial'!AA56:AA57),0)</f>
        <v>8817391.3373074494</v>
      </c>
      <c r="AE35" s="6">
        <f>IF(AE13&gt;='Phase II - Summary'!$D$23,'Phase II - CF Commercial'!AB51-SUM('Phase II - CF Commercial'!AB56:AB57),0)</f>
        <v>9008266.3372763302</v>
      </c>
      <c r="AF35" s="6">
        <f>IF(AF13&gt;='Phase II - Summary'!$D$23,'Phase II - CF Commercial'!AC51-SUM('Phase II - CF Commercial'!AC56:AC57),0)</f>
        <v>9203394.6524412706</v>
      </c>
      <c r="AG35" s="6">
        <f>IF(AG13&gt;='Phase II - Summary'!$D$23,'Phase II - CF Commercial'!AD51-SUM('Phase II - CF Commercial'!AD56:AD57),0)</f>
        <v>9402874.4235620927</v>
      </c>
      <c r="AH35" s="6">
        <f>IF(AH13&gt;='Phase II - Summary'!$D$23,'Phase II - CF Commercial'!AE51-SUM('Phase II - CF Commercial'!AE56:AE57),0)</f>
        <v>9606806.1464474872</v>
      </c>
      <c r="AI35" s="6">
        <f>IF(AI13&gt;='Phase II - Summary'!$D$23,'Phase II - CF Commercial'!AF51-SUM('Phase II - CF Commercial'!AF56:AF57),0)</f>
        <v>9815292.7308230177</v>
      </c>
      <c r="AJ35" s="6">
        <f>IF(AJ13&gt;='Phase II - Summary'!$D$23,'Phase II - CF Commercial'!AG51-SUM('Phase II - CF Commercial'!AG56:AG57),0)</f>
        <v>10028439.560729457</v>
      </c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0"/>
      <c r="CS35" s="170"/>
      <c r="CT35" s="170"/>
      <c r="CU35" s="170"/>
      <c r="CV35" s="170"/>
      <c r="CW35" s="170"/>
      <c r="CX35" s="170"/>
      <c r="CY35" s="170"/>
      <c r="CZ35" s="170"/>
      <c r="DA35" s="170"/>
      <c r="DB35" s="170"/>
      <c r="DC35" s="170"/>
      <c r="DD35" s="170"/>
      <c r="DE35" s="170"/>
      <c r="DF35" s="170"/>
      <c r="DG35" s="170"/>
      <c r="DH35" s="170"/>
      <c r="DI35" s="170"/>
      <c r="DJ35" s="170"/>
      <c r="DK35" s="170"/>
      <c r="DL35" s="170"/>
      <c r="DM35" s="170"/>
      <c r="DN35" s="170"/>
      <c r="DO35" s="170"/>
      <c r="DP35" s="170"/>
      <c r="DQ35" s="170"/>
      <c r="DR35" s="170"/>
      <c r="DS35" s="170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  <c r="EE35" s="170"/>
      <c r="EF35" s="170"/>
      <c r="EG35" s="170"/>
      <c r="EH35" s="170"/>
    </row>
    <row r="36" spans="2:138">
      <c r="B36" t="str">
        <f>B28</f>
        <v>Hotel</v>
      </c>
      <c r="F36" s="6">
        <f>IF(F13&gt;='Phase II - Summary'!$D$23,SUM('Phase II - CF Hotel'!C53,'Phase II - CF Hotel'!C62),0)</f>
        <v>0</v>
      </c>
      <c r="G36" s="6">
        <f>IF(G13&gt;='Phase II - Summary'!$D$23,SUM('Phase II - CF Hotel'!D53,'Phase II - CF Hotel'!D62),0)</f>
        <v>0</v>
      </c>
      <c r="H36" s="6">
        <f>IF(H13&gt;='Phase II - Summary'!$D$23,SUM('Phase II - CF Hotel'!E53,'Phase II - CF Hotel'!E62),0)</f>
        <v>0</v>
      </c>
      <c r="I36" s="6">
        <f>IF(I13&gt;='Phase II - Summary'!$D$23,SUM('Phase II - CF Hotel'!F53,'Phase II - CF Hotel'!F62),0)</f>
        <v>0</v>
      </c>
      <c r="J36" s="6">
        <f>IF(J13&gt;='Phase II - Summary'!$D$23,SUM('Phase II - CF Hotel'!G53,'Phase II - CF Hotel'!G62),0)</f>
        <v>0</v>
      </c>
      <c r="K36" s="6">
        <f>IF(K13&gt;='Phase II - Summary'!$D$23,SUM('Phase II - CF Hotel'!H53,'Phase II - CF Hotel'!H62),0)</f>
        <v>0</v>
      </c>
      <c r="L36" s="6">
        <f>IF(L13&gt;='Phase II - Summary'!$D$23,SUM('Phase II - CF Hotel'!I53,'Phase II - CF Hotel'!I62),0)</f>
        <v>0</v>
      </c>
      <c r="M36" s="6">
        <f>IF(M13&gt;='Phase II - Summary'!$D$23,SUM('Phase II - CF Hotel'!J53,'Phase II - CF Hotel'!J62),0)</f>
        <v>0</v>
      </c>
      <c r="N36" s="6">
        <f>IF(N13&gt;='Phase II - Summary'!$D$23,SUM('Phase II - CF Hotel'!K53,'Phase II - CF Hotel'!K62),0)</f>
        <v>8039225.5564871226</v>
      </c>
      <c r="O36" s="6">
        <f>IF(O13&gt;='Phase II - Summary'!$D$23,SUM('Phase II - CF Hotel'!L53,'Phase II - CF Hotel'!L62),0)</f>
        <v>8039225.5564871226</v>
      </c>
      <c r="P36" s="6">
        <f>IF(P13&gt;='Phase II - Summary'!$D$23,SUM('Phase II - CF Hotel'!M53,'Phase II - CF Hotel'!M62),0)</f>
        <v>8039225.5564871226</v>
      </c>
      <c r="Q36" s="6">
        <f>IF(Q13&gt;='Phase II - Summary'!$D$23,SUM('Phase II - CF Hotel'!N53,'Phase II - CF Hotel'!N62),0)</f>
        <v>8039225.5564871226</v>
      </c>
      <c r="R36" s="6">
        <f>IF(R13&gt;='Phase II - Summary'!$D$23,SUM('Phase II - CF Hotel'!O53,'Phase II - CF Hotel'!O62),0)</f>
        <v>8039225.5564871226</v>
      </c>
      <c r="S36" s="6">
        <f>IF(S13&gt;='Phase II - Summary'!$D$23,SUM('Phase II - CF Hotel'!P53,'Phase II - CF Hotel'!P62),0)</f>
        <v>8039225.5564871226</v>
      </c>
      <c r="T36" s="6">
        <f>IF(T13&gt;='Phase II - Summary'!$D$23,SUM('Phase II - CF Hotel'!Q53,'Phase II - CF Hotel'!Q62),0)</f>
        <v>8039225.5564871226</v>
      </c>
      <c r="U36" s="6">
        <f>IF(U13&gt;='Phase II - Summary'!$D$23,SUM('Phase II - CF Hotel'!R53,'Phase II - CF Hotel'!R62),0)</f>
        <v>8039225.5564871226</v>
      </c>
      <c r="V36" s="6">
        <f>IF(V13&gt;='Phase II - Summary'!$D$23,SUM('Phase II - CF Hotel'!S53,'Phase II - CF Hotel'!S62),0)</f>
        <v>8039225.5564871226</v>
      </c>
      <c r="W36" s="6">
        <f>IF(W13&gt;='Phase II - Summary'!$D$23,SUM('Phase II - CF Hotel'!T53,'Phase II - CF Hotel'!T62),0)</f>
        <v>8039225.5564871226</v>
      </c>
      <c r="X36" s="6">
        <f>IF(X13&gt;='Phase II - Summary'!$D$23,SUM('Phase II - CF Hotel'!U53,'Phase II - CF Hotel'!U62),0)</f>
        <v>8039225.5564871226</v>
      </c>
      <c r="Y36" s="6">
        <f>IF(Y13&gt;='Phase II - Summary'!$D$23,SUM('Phase II - CF Hotel'!V53,'Phase II - CF Hotel'!V62),0)</f>
        <v>8039225.5564871226</v>
      </c>
      <c r="Z36" s="6">
        <f>IF(Z13&gt;='Phase II - Summary'!$D$23,SUM('Phase II - CF Hotel'!W53,'Phase II - CF Hotel'!W62),0)</f>
        <v>8039225.5564871226</v>
      </c>
      <c r="AA36" s="6">
        <f>IF(AA13&gt;='Phase II - Summary'!$D$23,SUM('Phase II - CF Hotel'!X53,'Phase II - CF Hotel'!X62),0)</f>
        <v>8039225.5564871226</v>
      </c>
      <c r="AB36" s="6">
        <f>IF(AB13&gt;='Phase II - Summary'!$D$23,SUM('Phase II - CF Hotel'!Y53,'Phase II - CF Hotel'!Y62),0)</f>
        <v>8039225.5564871226</v>
      </c>
      <c r="AC36" s="6">
        <f>IF(AC13&gt;='Phase II - Summary'!$D$23,SUM('Phase II - CF Hotel'!Z53,'Phase II - CF Hotel'!Z62),0)</f>
        <v>8039225.5564871226</v>
      </c>
      <c r="AD36" s="6">
        <f>IF(AD13&gt;='Phase II - Summary'!$D$23,SUM('Phase II - CF Hotel'!AA53,'Phase II - CF Hotel'!AA62),0)</f>
        <v>8039225.5564871226</v>
      </c>
      <c r="AE36" s="6">
        <f>IF(AE13&gt;='Phase II - Summary'!$D$23,SUM('Phase II - CF Hotel'!AB53,'Phase II - CF Hotel'!AB62),0)</f>
        <v>8039225.5564871226</v>
      </c>
      <c r="AF36" s="6">
        <f>IF(AF13&gt;='Phase II - Summary'!$D$23,SUM('Phase II - CF Hotel'!AC53,'Phase II - CF Hotel'!AC62),0)</f>
        <v>8039225.5564871226</v>
      </c>
      <c r="AG36" s="6">
        <f>IF(AG13&gt;='Phase II - Summary'!$D$23,SUM('Phase II - CF Hotel'!AD53,'Phase II - CF Hotel'!AD62),0)</f>
        <v>8039225.5564871226</v>
      </c>
      <c r="AH36" s="6">
        <f>IF(AH13&gt;='Phase II - Summary'!$D$23,SUM('Phase II - CF Hotel'!AE53,'Phase II - CF Hotel'!AE62),0)</f>
        <v>8039225.5564871226</v>
      </c>
      <c r="AI36" s="6">
        <f>IF(AI13&gt;='Phase II - Summary'!$D$23,SUM('Phase II - CF Hotel'!AF53,'Phase II - CF Hotel'!AF62),0)</f>
        <v>8039225.5564871226</v>
      </c>
      <c r="AJ36" s="6">
        <f>IF(AJ13&gt;='Phase II - Summary'!$D$23,SUM('Phase II - CF Hotel'!AG53,'Phase II - CF Hotel'!AG62),0)</f>
        <v>8039225.5564871226</v>
      </c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CZ36" s="170"/>
      <c r="DA36" s="170"/>
      <c r="DB36" s="170"/>
      <c r="DC36" s="170"/>
      <c r="DD36" s="170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  <c r="EE36" s="170"/>
      <c r="EF36" s="170"/>
      <c r="EG36" s="170"/>
      <c r="EH36" s="170"/>
    </row>
    <row r="37" spans="2:138">
      <c r="B37" t="str">
        <f>B29</f>
        <v>Retail</v>
      </c>
      <c r="F37" s="6">
        <f>IF(F13&gt;='Phase II - Summary'!$D$23,'Phase II - CF Retail'!C53-SUM('Phase II - CF Retail'!C58:C59),0)</f>
        <v>0</v>
      </c>
      <c r="G37" s="6">
        <f>IF(G13&gt;='Phase II - Summary'!$D$23,'Phase II - CF Retail'!D53-SUM('Phase II - CF Retail'!D58:D59),0)</f>
        <v>0</v>
      </c>
      <c r="H37" s="6">
        <f>IF(H13&gt;='Phase II - Summary'!$D$23,'Phase II - CF Retail'!E53-SUM('Phase II - CF Retail'!E58:E59),0)</f>
        <v>0</v>
      </c>
      <c r="I37" s="6">
        <f>IF(I13&gt;='Phase II - Summary'!$D$23,'Phase II - CF Retail'!F53-SUM('Phase II - CF Retail'!F58:F59),0)</f>
        <v>0</v>
      </c>
      <c r="J37" s="6">
        <f>IF(J13&gt;='Phase II - Summary'!$D$23,'Phase II - CF Retail'!G53-SUM('Phase II - CF Retail'!G58:G59),0)</f>
        <v>0</v>
      </c>
      <c r="K37" s="6">
        <f>IF(K13&gt;='Phase II - Summary'!$D$23,'Phase II - CF Retail'!H53-SUM('Phase II - CF Retail'!H58:H59),0)</f>
        <v>0</v>
      </c>
      <c r="L37" s="6">
        <f>IF(L13&gt;='Phase II - Summary'!$D$23,'Phase II - CF Retail'!I53-SUM('Phase II - CF Retail'!I58:I59),0)</f>
        <v>0</v>
      </c>
      <c r="M37" s="6">
        <f>IF(M13&gt;='Phase II - Summary'!$D$23,'Phase II - CF Retail'!J53-SUM('Phase II - CF Retail'!J58:J59),0)</f>
        <v>0</v>
      </c>
      <c r="N37" s="6">
        <f>IF(N13&gt;='Phase II - Summary'!$D$23,'Phase II - CF Retail'!K53-SUM('Phase II - CF Retail'!K58:K59),0)</f>
        <v>1726223.7417160554</v>
      </c>
      <c r="O37" s="6">
        <f>IF(O13&gt;='Phase II - Summary'!$D$23,'Phase II - CF Retail'!L53-SUM('Phase II - CF Retail'!L58:L59),0)</f>
        <v>1762844.3465411761</v>
      </c>
      <c r="P37" s="6">
        <f>IF(P13&gt;='Phase II - Summary'!$D$23,'Phase II - CF Retail'!M53-SUM('Phase II - CF Retail'!M58:M59),0)</f>
        <v>1800260.2473625229</v>
      </c>
      <c r="Q37" s="6">
        <f>IF(Q13&gt;='Phase II - Summary'!$D$23,'Phase II - CF Retail'!N53-SUM('Phase II - CF Retail'!N58:N59),0)</f>
        <v>1838489.2366170124</v>
      </c>
      <c r="R37" s="6">
        <f>IF(R13&gt;='Phase II - Summary'!$D$23,'Phase II - CF Retail'!O53-SUM('Phase II - CF Retail'!O58:O59),0)</f>
        <v>1877549.5191858083</v>
      </c>
      <c r="S37" s="6">
        <f>IF(S13&gt;='Phase II - Summary'!$D$23,'Phase II - CF Retail'!P53-SUM('Phase II - CF Retail'!P58:P59),0)</f>
        <v>1917459.7223410746</v>
      </c>
      <c r="T37" s="6">
        <f>IF(T13&gt;='Phase II - Summary'!$D$23,'Phase II - CF Retail'!Q53-SUM('Phase II - CF Retail'!Q58:Q59),0)</f>
        <v>1958238.9059425925</v>
      </c>
      <c r="U37" s="6">
        <f>IF(U13&gt;='Phase II - Summary'!$D$23,'Phase II - CF Retail'!R53-SUM('Phase II - CF Retail'!R58:R59),0)</f>
        <v>1999906.5728907813</v>
      </c>
      <c r="V37" s="6">
        <f>IF(V13&gt;='Phase II - Summary'!$D$23,'Phase II - CF Retail'!S53-SUM('Phase II - CF Retail'!S58:S59),0)</f>
        <v>2042482.6798428143</v>
      </c>
      <c r="W37" s="6">
        <f>IF(W13&gt;='Phase II - Summary'!$D$23,'Phase II - CF Retail'!T53-SUM('Phase II - CF Retail'!T58:T59),0)</f>
        <v>2085987.6481987145</v>
      </c>
      <c r="X37" s="6">
        <f>IF(X13&gt;='Phase II - Summary'!$D$23,'Phase II - CF Retail'!U53-SUM('Phase II - CF Retail'!U58:U59),0)</f>
        <v>2130442.3753645038</v>
      </c>
      <c r="Y37" s="6">
        <f>IF(Y13&gt;='Phase II - Summary'!$D$23,'Phase II - CF Retail'!V53-SUM('Phase II - CF Retail'!V58:V59),0)</f>
        <v>2175868.246299664</v>
      </c>
      <c r="Z37" s="6">
        <f>IF(Z13&gt;='Phase II - Summary'!$D$23,'Phase II - CF Retail'!W53-SUM('Phase II - CF Retail'!W58:W59),0)</f>
        <v>2222287.1453563622</v>
      </c>
      <c r="AA37" s="6">
        <f>IF(AA13&gt;='Phase II - Summary'!$D$23,'Phase II - CF Retail'!X53-SUM('Phase II - CF Retail'!X58:X59),0)</f>
        <v>2269721.4684181171</v>
      </c>
      <c r="AB37" s="6">
        <f>IF(AB13&gt;='Phase II - Summary'!$D$23,'Phase II - CF Retail'!Y53-SUM('Phase II - CF Retail'!Y58:Y59),0)</f>
        <v>2318194.1353457449</v>
      </c>
      <c r="AC37" s="6">
        <f>IF(AC13&gt;='Phase II - Summary'!$D$23,'Phase II - CF Retail'!Z53-SUM('Phase II - CF Retail'!Z58:Z59),0)</f>
        <v>2367728.6027387031</v>
      </c>
      <c r="AD37" s="6">
        <f>IF(AD13&gt;='Phase II - Summary'!$D$23,'Phase II - CF Retail'!AA53-SUM('Phase II - CF Retail'!AA58:AA59),0)</f>
        <v>2418348.8770201025</v>
      </c>
      <c r="AE37" s="6">
        <f>IF(AE13&gt;='Phase II - Summary'!$D$23,'Phase II - CF Retail'!AB53-SUM('Phase II - CF Retail'!AB58:AB59),0)</f>
        <v>2470079.527853928</v>
      </c>
      <c r="AF37" s="6">
        <f>IF(AF13&gt;='Phase II - Summary'!$D$23,'Phase II - CF Retail'!AC53-SUM('Phase II - CF Retail'!AC58:AC59),0)</f>
        <v>2522945.7019032328</v>
      </c>
      <c r="AG37" s="6">
        <f>IF(AG13&gt;='Phase II - Summary'!$D$23,'Phase II - CF Retail'!AD53-SUM('Phase II - CF Retail'!AD58:AD59),0)</f>
        <v>2576973.1369382911</v>
      </c>
      <c r="AH37" s="6">
        <f>IF(AH13&gt;='Phase II - Summary'!$D$23,'Phase II - CF Retail'!AE53-SUM('Phase II - CF Retail'!AE58:AE59),0)</f>
        <v>2632188.1763039595</v>
      </c>
      <c r="AI37" s="6">
        <f>IF(AI13&gt;='Phase II - Summary'!$D$23,'Phase II - CF Retail'!AF53-SUM('Phase II - CF Retail'!AF58:AF59),0)</f>
        <v>2688617.783755749</v>
      </c>
      <c r="AJ37" s="6">
        <f>IF(AJ13&gt;='Phase II - Summary'!$D$23,'Phase II - CF Retail'!AG53-SUM('Phase II - CF Retail'!AG58:AG59),0)</f>
        <v>2746289.5586743457</v>
      </c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 s="170"/>
      <c r="CC37" s="170"/>
      <c r="CD37" s="170"/>
      <c r="CE37" s="170"/>
      <c r="CF37" s="170"/>
      <c r="CG37" s="170"/>
      <c r="CH37" s="170"/>
      <c r="CI37" s="170"/>
      <c r="CJ37" s="170"/>
      <c r="CK37" s="170"/>
      <c r="CL37" s="170"/>
      <c r="CM37" s="170"/>
      <c r="CN37" s="170"/>
      <c r="CO37" s="170"/>
      <c r="CP37" s="170"/>
      <c r="CQ37" s="170"/>
      <c r="CR37" s="170"/>
      <c r="CS37" s="170"/>
      <c r="CT37" s="170"/>
      <c r="CU37" s="170"/>
      <c r="CV37" s="170"/>
      <c r="CW37" s="170"/>
      <c r="CX37" s="170"/>
      <c r="CY37" s="170"/>
      <c r="CZ37" s="170"/>
      <c r="DA37" s="170"/>
      <c r="DB37" s="170"/>
      <c r="DC37" s="170"/>
      <c r="DD37" s="170"/>
      <c r="DE37" s="170"/>
      <c r="DF37" s="170"/>
      <c r="DG37" s="170"/>
      <c r="DH37" s="170"/>
      <c r="DI37" s="170"/>
      <c r="DJ37" s="170"/>
      <c r="DK37" s="170"/>
      <c r="DL37" s="170"/>
      <c r="DM37" s="170"/>
      <c r="DN37" s="170"/>
      <c r="DO37" s="170"/>
      <c r="DP37" s="170"/>
      <c r="DQ37" s="170"/>
      <c r="DR37" s="170"/>
      <c r="DS37" s="170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  <c r="EE37" s="170"/>
      <c r="EF37" s="170"/>
      <c r="EG37" s="170"/>
      <c r="EH37" s="170"/>
    </row>
    <row r="38" spans="2:138">
      <c r="B38" s="38" t="s">
        <v>631</v>
      </c>
      <c r="C38" s="38"/>
      <c r="D38" s="38"/>
      <c r="E38" s="38"/>
      <c r="F38" s="20">
        <f t="shared" ref="F38:AJ38" si="5">SUM(F33:F37)</f>
        <v>0</v>
      </c>
      <c r="G38" s="20">
        <f t="shared" si="5"/>
        <v>0</v>
      </c>
      <c r="H38" s="20">
        <f t="shared" si="5"/>
        <v>0</v>
      </c>
      <c r="I38" s="20">
        <f t="shared" si="5"/>
        <v>0</v>
      </c>
      <c r="J38" s="20">
        <f t="shared" si="5"/>
        <v>0</v>
      </c>
      <c r="K38" s="20">
        <f t="shared" si="5"/>
        <v>0</v>
      </c>
      <c r="L38" s="20">
        <f t="shared" si="5"/>
        <v>0</v>
      </c>
      <c r="M38" s="20">
        <f t="shared" si="5"/>
        <v>0</v>
      </c>
      <c r="N38" s="20">
        <f t="shared" si="5"/>
        <v>19836464.197405033</v>
      </c>
      <c r="O38" s="20">
        <f t="shared" si="5"/>
        <v>20189541.702553697</v>
      </c>
      <c r="P38" s="20">
        <f t="shared" si="5"/>
        <v>20555220.530958734</v>
      </c>
      <c r="Q38" s="20">
        <f t="shared" si="5"/>
        <v>20934020.10456077</v>
      </c>
      <c r="R38" s="20">
        <f t="shared" si="5"/>
        <v>21326483.323807709</v>
      </c>
      <c r="S38" s="20">
        <f t="shared" si="5"/>
        <v>21733177.684251755</v>
      </c>
      <c r="T38" s="20">
        <f t="shared" si="5"/>
        <v>22154696.447672103</v>
      </c>
      <c r="U38" s="20">
        <f t="shared" si="5"/>
        <v>22591659.870423056</v>
      </c>
      <c r="V38" s="20">
        <f t="shared" si="5"/>
        <v>23044716.491841726</v>
      </c>
      <c r="W38" s="20">
        <f t="shared" si="5"/>
        <v>23514544.485691369</v>
      </c>
      <c r="X38" s="20">
        <f t="shared" si="5"/>
        <v>24001853.077764351</v>
      </c>
      <c r="Y38" s="20">
        <f t="shared" si="5"/>
        <v>24507384.032925326</v>
      </c>
      <c r="Z38" s="20">
        <f t="shared" si="5"/>
        <v>25031913.215038378</v>
      </c>
      <c r="AA38" s="20">
        <f t="shared" si="5"/>
        <v>25576252.223394375</v>
      </c>
      <c r="AB38" s="20">
        <f t="shared" si="5"/>
        <v>26141250.109435055</v>
      </c>
      <c r="AC38" s="20">
        <f t="shared" si="5"/>
        <v>26727795.177760225</v>
      </c>
      <c r="AD38" s="20">
        <f t="shared" si="5"/>
        <v>27336816.875603553</v>
      </c>
      <c r="AE38" s="20">
        <f t="shared" si="5"/>
        <v>27969287.775171667</v>
      </c>
      <c r="AF38" s="20">
        <f t="shared" si="5"/>
        <v>28626225.653460808</v>
      </c>
      <c r="AG38" s="20">
        <f t="shared" si="5"/>
        <v>29308695.674396235</v>
      </c>
      <c r="AH38" s="20">
        <f t="shared" si="5"/>
        <v>30017812.678381518</v>
      </c>
      <c r="AI38" s="20">
        <f t="shared" si="5"/>
        <v>30754743.584599562</v>
      </c>
      <c r="AJ38" s="20">
        <f t="shared" si="5"/>
        <v>31520709.911674205</v>
      </c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</row>
    <row r="39" spans="2:138">
      <c r="B39" s="21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  <c r="EE39" s="170"/>
      <c r="EF39" s="170"/>
      <c r="EG39" s="170"/>
      <c r="EH39" s="170"/>
    </row>
    <row r="40" spans="2:138" ht="14.4">
      <c r="B40" s="22" t="s">
        <v>629</v>
      </c>
      <c r="F40" s="6">
        <f>SUM(F25:F29)-SUM(F33:F37)</f>
        <v>0</v>
      </c>
      <c r="G40" s="6">
        <f t="shared" ref="G40:R40" si="6">SUM(G25:G29)-SUM(G33:G37)</f>
        <v>0</v>
      </c>
      <c r="H40" s="6">
        <f t="shared" si="6"/>
        <v>0</v>
      </c>
      <c r="I40" s="6">
        <f t="shared" si="6"/>
        <v>0</v>
      </c>
      <c r="J40" s="6">
        <f t="shared" si="6"/>
        <v>0</v>
      </c>
      <c r="K40" s="6">
        <f t="shared" si="6"/>
        <v>0</v>
      </c>
      <c r="L40" s="6">
        <f t="shared" si="6"/>
        <v>0</v>
      </c>
      <c r="M40" s="6">
        <f t="shared" si="6"/>
        <v>0</v>
      </c>
      <c r="N40" s="6">
        <f t="shared" si="6"/>
        <v>35706114.957173079</v>
      </c>
      <c r="O40" s="6">
        <f t="shared" si="6"/>
        <v>36921928.641335987</v>
      </c>
      <c r="P40" s="6">
        <f t="shared" si="6"/>
        <v>38171892.582067966</v>
      </c>
      <c r="Q40" s="6">
        <f t="shared" si="6"/>
        <v>39456883.60170608</v>
      </c>
      <c r="R40" s="6">
        <f t="shared" si="6"/>
        <v>40777796.805346087</v>
      </c>
      <c r="S40" s="6">
        <f t="shared" ref="S40:AD40" si="7">SUM(S25:S29)-SUM(S33:S37)</f>
        <v>42135545.71456217</v>
      </c>
      <c r="T40" s="6">
        <f t="shared" si="7"/>
        <v>43531062.384060085</v>
      </c>
      <c r="U40" s="6">
        <f t="shared" si="7"/>
        <v>44965297.499686636</v>
      </c>
      <c r="V40" s="6">
        <f t="shared" si="7"/>
        <v>46439220.456117891</v>
      </c>
      <c r="W40" s="6">
        <f t="shared" si="7"/>
        <v>47953819.412441209</v>
      </c>
      <c r="X40" s="6">
        <f t="shared" si="7"/>
        <v>49510101.323733687</v>
      </c>
      <c r="Y40" s="6">
        <f t="shared" si="7"/>
        <v>51109091.946620166</v>
      </c>
      <c r="Z40" s="6">
        <f t="shared" si="7"/>
        <v>52751835.816668674</v>
      </c>
      <c r="AA40" s="6">
        <f t="shared" si="7"/>
        <v>54439396.19534716</v>
      </c>
      <c r="AB40" s="6">
        <f t="shared" si="7"/>
        <v>56172854.9841263</v>
      </c>
      <c r="AC40" s="6">
        <f t="shared" si="7"/>
        <v>57953312.603163272</v>
      </c>
      <c r="AD40" s="6">
        <f t="shared" si="7"/>
        <v>59781887.831846684</v>
      </c>
      <c r="AE40" s="6">
        <f t="shared" ref="AE40:AJ40" si="8">SUM(AE25:AE29)-SUM(AE33:AE37)</f>
        <v>61659717.608315706</v>
      </c>
      <c r="AF40" s="6">
        <f t="shared" si="8"/>
        <v>63587956.784893684</v>
      </c>
      <c r="AG40" s="6">
        <f t="shared" si="8"/>
        <v>65567777.836191252</v>
      </c>
      <c r="AH40" s="6">
        <f t="shared" si="8"/>
        <v>67600370.516440213</v>
      </c>
      <c r="AI40" s="6">
        <f t="shared" si="8"/>
        <v>69686941.462414354</v>
      </c>
      <c r="AJ40" s="6">
        <f t="shared" si="8"/>
        <v>71828713.738077268</v>
      </c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 s="170"/>
      <c r="CC40" s="170"/>
      <c r="CD40" s="170"/>
      <c r="CE40" s="170"/>
      <c r="CF40" s="170"/>
      <c r="CG40" s="170"/>
      <c r="CH40" s="170"/>
      <c r="CI40" s="170"/>
      <c r="CJ40" s="170"/>
      <c r="CK40" s="170"/>
      <c r="CL40" s="170"/>
      <c r="CM40" s="170"/>
      <c r="CN40" s="170"/>
      <c r="CO40" s="170"/>
      <c r="CP40" s="170"/>
      <c r="CQ40" s="170"/>
      <c r="CR40" s="170"/>
      <c r="CS40" s="170"/>
      <c r="CT40" s="170"/>
      <c r="CU40" s="170"/>
      <c r="CV40" s="170"/>
      <c r="CW40" s="170"/>
      <c r="CX40" s="170"/>
      <c r="CY40" s="170"/>
      <c r="CZ40" s="170"/>
      <c r="DA40" s="170"/>
      <c r="DB40" s="170"/>
      <c r="DC40" s="170"/>
      <c r="DD40" s="170"/>
      <c r="DE40" s="170"/>
      <c r="DF40" s="170"/>
      <c r="DG40" s="170"/>
      <c r="DH40" s="170"/>
      <c r="DI40" s="170"/>
      <c r="DJ40" s="170"/>
      <c r="DK40" s="170"/>
      <c r="DL40" s="170"/>
      <c r="DM40" s="170"/>
      <c r="DN40" s="170"/>
      <c r="DO40" s="170"/>
      <c r="DP40" s="170"/>
      <c r="DQ40" s="170"/>
      <c r="DR40" s="170"/>
      <c r="DS40" s="170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  <c r="EE40" s="170"/>
      <c r="EF40" s="170"/>
      <c r="EG40" s="170"/>
      <c r="EH40" s="170"/>
    </row>
    <row r="41" spans="2:138" ht="14.4">
      <c r="C41" s="9"/>
      <c r="D41" s="9"/>
      <c r="E41" s="9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</row>
    <row r="42" spans="2:138">
      <c r="B42" s="1" t="s">
        <v>633</v>
      </c>
      <c r="F42" s="6" t="b">
        <f>IF(F13&gt;='Phase II - Summary'!$D$23,'Phase II - Pro Forma'!G40/'Phase II - Summary'!$D$28)</f>
        <v>0</v>
      </c>
      <c r="G42" s="6" t="b">
        <f>IF(G13&gt;='Phase II - Summary'!$D$23,'Phase II - Pro Forma'!H40/'Phase II - Summary'!$D$28)</f>
        <v>0</v>
      </c>
      <c r="H42" s="6" t="b">
        <f>IF(H13&gt;='Phase II - Summary'!$D$23,'Phase II - Pro Forma'!I40/'Phase II - Summary'!$D$28)</f>
        <v>0</v>
      </c>
      <c r="I42" s="6" t="b">
        <f>IF(I13&gt;='Phase II - Summary'!$D$23,'Phase II - Pro Forma'!J40/'Phase II - Summary'!$D$28)</f>
        <v>0</v>
      </c>
      <c r="J42" s="6" t="b">
        <f>IF(J13&gt;='Phase II - Summary'!$D$23,'Phase II - Pro Forma'!K40/'Phase II - Summary'!$D$28)</f>
        <v>0</v>
      </c>
      <c r="K42" s="6" t="b">
        <f>IF(K13&gt;='Phase II - Summary'!$D$23,'Phase II - Pro Forma'!L40/'Phase II - Summary'!$D$28)</f>
        <v>0</v>
      </c>
      <c r="L42" s="6" t="b">
        <f>IF(L13&gt;='Phase II - Summary'!$D$23,'Phase II - Pro Forma'!M40/'Phase II - Summary'!$D$28)</f>
        <v>0</v>
      </c>
      <c r="M42" s="6" t="b">
        <f>IF(M13&gt;='Phase II - Summary'!$D$23,'Phase II - Pro Forma'!N40/'Phase II - Summary'!$D$28)</f>
        <v>0</v>
      </c>
      <c r="N42" s="6">
        <f>IF(N13&gt;='Phase II - Summary'!$D$23,'Phase II - Pro Forma'!O40/'Phase II - Summary'!$D$28)</f>
        <v>671307793.47883606</v>
      </c>
      <c r="O42" s="6">
        <f>IF(O13&gt;='Phase II - Summary'!$D$23,'Phase II - Pro Forma'!P40/'Phase II - Summary'!$D$28)</f>
        <v>694034410.58305395</v>
      </c>
      <c r="P42" s="6">
        <f>IF(P13&gt;='Phase II - Summary'!$D$23,'Phase II - Pro Forma'!Q40/'Phase II - Summary'!$D$28)</f>
        <v>717397883.66738331</v>
      </c>
      <c r="Q42" s="6">
        <f>IF(Q13&gt;='Phase II - Summary'!$D$23,'Phase II - Pro Forma'!R40/'Phase II - Summary'!$D$28)</f>
        <v>741414487.36992884</v>
      </c>
      <c r="R42" s="6">
        <f>IF(R13&gt;='Phase II - Summary'!$D$23,'Phase II - Pro Forma'!S40/'Phase II - Summary'!$D$28)</f>
        <v>766100831.17385769</v>
      </c>
      <c r="S42" s="6">
        <f>IF(S13&gt;='Phase II - Summary'!$D$23,'Phase II - Pro Forma'!T40/'Phase II - Summary'!$D$28)</f>
        <v>791473861.52836514</v>
      </c>
      <c r="T42" s="6">
        <f>IF(T13&gt;='Phase II - Summary'!$D$23,'Phase II - Pro Forma'!U40/'Phase II - Summary'!$D$28)</f>
        <v>817550863.63066614</v>
      </c>
      <c r="U42" s="6">
        <f>IF(U13&gt;='Phase II - Summary'!$D$23,'Phase II - Pro Forma'!V40/'Phase II - Summary'!$D$28)</f>
        <v>844349462.83850706</v>
      </c>
      <c r="V42" s="6">
        <f>IF(V13&gt;='Phase II - Summary'!$D$23,'Phase II - Pro Forma'!W40/'Phase II - Summary'!$D$28)</f>
        <v>871887625.6807493</v>
      </c>
      <c r="W42" s="6">
        <f>IF(W13&gt;='Phase II - Summary'!$D$23,'Phase II - Pro Forma'!X40/'Phase II - Summary'!$D$28)</f>
        <v>900183660.43152153</v>
      </c>
      <c r="X42" s="6">
        <f>IF(X13&gt;='Phase II - Summary'!$D$23,'Phase II - Pro Forma'!Y40/'Phase II - Summary'!$D$28)</f>
        <v>929256217.2112757</v>
      </c>
      <c r="Y42" s="6">
        <f>IF(Y13&gt;='Phase II - Summary'!$D$23,'Phase II - Pro Forma'!Z40/'Phase II - Summary'!$D$28)</f>
        <v>959124287.5757941</v>
      </c>
      <c r="Z42" s="6">
        <f>IF(Z13&gt;='Phase II - Summary'!$D$23,'Phase II - Pro Forma'!AA40/'Phase II - Summary'!$D$28)</f>
        <v>989807203.55176651</v>
      </c>
      <c r="AA42" s="6">
        <f>IF(AA13&gt;='Phase II - Summary'!$D$23,'Phase II - Pro Forma'!AB40/'Phase II - Summary'!$D$28)</f>
        <v>1021324636.0750237</v>
      </c>
      <c r="AB42" s="6">
        <f>IF(AB13&gt;='Phase II - Summary'!$D$23,'Phase II - Pro Forma'!AC40/'Phase II - Summary'!$D$28)</f>
        <v>1053696592.7847868</v>
      </c>
      <c r="AC42" s="6">
        <f>IF(AC13&gt;='Phase II - Summary'!$D$23,'Phase II - Pro Forma'!AD40/'Phase II - Summary'!$D$28)</f>
        <v>1086943415.1244853</v>
      </c>
      <c r="AD42" s="6">
        <f>IF(AD13&gt;='Phase II - Summary'!$D$23,'Phase II - Pro Forma'!AE40/'Phase II - Summary'!$D$28)</f>
        <v>1121085774.6966493</v>
      </c>
      <c r="AE42" s="6">
        <f>IF(AE13&gt;='Phase II - Summary'!$D$23,'Phase II - Pro Forma'!AF40/'Phase II - Summary'!$D$28)</f>
        <v>1156144668.8162489</v>
      </c>
      <c r="AF42" s="6">
        <f>IF(AF13&gt;='Phase II - Summary'!$D$23,'Phase II - Pro Forma'!AG40/'Phase II - Summary'!$D$28)</f>
        <v>1192141415.2034774</v>
      </c>
      <c r="AG42" s="6">
        <f>IF(AG13&gt;='Phase II - Summary'!$D$23,'Phase II - Pro Forma'!AH40/'Phase II - Summary'!$D$28)</f>
        <v>1229097645.7534585</v>
      </c>
      <c r="AH42" s="6">
        <f>IF(AH13&gt;='Phase II - Summary'!$D$23,'Phase II - Pro Forma'!AI40/'Phase II - Summary'!$D$28)</f>
        <v>1267035299.3166246</v>
      </c>
      <c r="AI42" s="6">
        <f>IF(AI13&gt;='Phase II - Summary'!$D$23,'Phase II - Pro Forma'!AJ40/'Phase II - Summary'!$D$28)</f>
        <v>1305976613.4195867</v>
      </c>
      <c r="AJ42" s="6">
        <f>IF(AJ13&gt;='Phase II - Summary'!$D$23,'Phase II - Pro Forma'!AK40/'Phase II - Summary'!$D$28)</f>
        <v>0</v>
      </c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0"/>
      <c r="DF42" s="170"/>
      <c r="DG42" s="170"/>
      <c r="DH42" s="170"/>
      <c r="DI42" s="170"/>
      <c r="DJ42" s="170"/>
      <c r="DK42" s="170"/>
      <c r="DL42" s="170"/>
      <c r="DM42" s="170"/>
      <c r="DN42" s="170"/>
      <c r="DO42" s="170"/>
      <c r="DP42" s="170"/>
      <c r="DQ42" s="170"/>
      <c r="DR42" s="170"/>
      <c r="DS42" s="170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  <c r="EE42" s="170"/>
      <c r="EF42" s="170"/>
      <c r="EG42" s="170"/>
      <c r="EH42" s="170"/>
    </row>
    <row r="43" spans="2:138">
      <c r="B43" t="s">
        <v>405</v>
      </c>
      <c r="F43" s="6">
        <f>-F42*'Phase II - Summary'!$D$29</f>
        <v>0</v>
      </c>
      <c r="G43" s="6">
        <f>-G42*'Phase II - Summary'!$D$29</f>
        <v>0</v>
      </c>
      <c r="H43" s="6">
        <f>-H42*'Phase II - Summary'!$D$29</f>
        <v>0</v>
      </c>
      <c r="I43" s="6">
        <f>-I42*'Phase II - Summary'!$D$29</f>
        <v>0</v>
      </c>
      <c r="J43" s="6">
        <f>-J42*'Phase II - Summary'!$D$29</f>
        <v>0</v>
      </c>
      <c r="K43" s="6">
        <f>-K42*'Phase II - Summary'!$D$29</f>
        <v>0</v>
      </c>
      <c r="L43" s="6">
        <f>-L42*'Phase II - Summary'!$D$29</f>
        <v>0</v>
      </c>
      <c r="M43" s="6">
        <f>-M42*'Phase II - Summary'!$D$29</f>
        <v>0</v>
      </c>
      <c r="N43" s="6">
        <f>-N42*'Phase II - Summary'!$D$29</f>
        <v>-6713077.9347883612</v>
      </c>
      <c r="O43" s="6">
        <f>-O42*'Phase II - Summary'!$D$29</f>
        <v>-6940344.1058305399</v>
      </c>
      <c r="P43" s="6">
        <f>-P42*'Phase II - Summary'!$D$29</f>
        <v>-7173978.8366738334</v>
      </c>
      <c r="Q43" s="6">
        <f>-Q42*'Phase II - Summary'!$D$29</f>
        <v>-7414144.8736992888</v>
      </c>
      <c r="R43" s="6">
        <f>-R42*'Phase II - Summary'!$D$29</f>
        <v>-7661008.3117385767</v>
      </c>
      <c r="S43" s="6">
        <f>-S42*'Phase II - Summary'!$D$29</f>
        <v>-7914738.6152836513</v>
      </c>
      <c r="T43" s="6">
        <f>-T42*'Phase II - Summary'!$D$29</f>
        <v>-8175508.6363066612</v>
      </c>
      <c r="U43" s="6">
        <f>-U42*'Phase II - Summary'!$D$29</f>
        <v>-8443494.6283850707</v>
      </c>
      <c r="V43" s="6">
        <f>-V42*'Phase II - Summary'!$D$29</f>
        <v>-8718876.256807493</v>
      </c>
      <c r="W43" s="6">
        <f>-W42*'Phase II - Summary'!$D$29</f>
        <v>-9001836.6043152157</v>
      </c>
      <c r="X43" s="6">
        <f>-X42*'Phase II - Summary'!$D$29</f>
        <v>-9292562.1721127573</v>
      </c>
      <c r="Y43" s="6">
        <f>-Y42*'Phase II - Summary'!$D$29</f>
        <v>-9591242.875757942</v>
      </c>
      <c r="Z43" s="6">
        <f>-Z42*'Phase II - Summary'!$D$29</f>
        <v>-9898072.0355176646</v>
      </c>
      <c r="AA43" s="6">
        <f>-AA42*'Phase II - Summary'!$D$29</f>
        <v>-10213246.360750237</v>
      </c>
      <c r="AB43" s="6">
        <f>-AB42*'Phase II - Summary'!$D$29</f>
        <v>-10536965.927847868</v>
      </c>
      <c r="AC43" s="6">
        <f>-AC42*'Phase II - Summary'!$D$29</f>
        <v>-10869434.151244853</v>
      </c>
      <c r="AD43" s="6">
        <f>-AD42*'Phase II - Summary'!$D$29</f>
        <v>-11210857.746966494</v>
      </c>
      <c r="AE43" s="6">
        <f>-AE42*'Phase II - Summary'!$D$29</f>
        <v>-11561446.688162489</v>
      </c>
      <c r="AF43" s="6">
        <f>-AF42*'Phase II - Summary'!$D$29</f>
        <v>-11921414.152034774</v>
      </c>
      <c r="AG43" s="6">
        <f>-AG42*'Phase II - Summary'!$D$29</f>
        <v>-12290976.457534585</v>
      </c>
      <c r="AH43" s="6">
        <f>-AH42*'Phase II - Summary'!$D$29</f>
        <v>-12670352.993166247</v>
      </c>
      <c r="AI43" s="6">
        <f>-AI42*'Phase II - Summary'!$D$29</f>
        <v>-13059766.134195866</v>
      </c>
      <c r="AJ43" s="6">
        <f>-AJ42*'Phase II - Summary'!$D$29</f>
        <v>0</v>
      </c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  <c r="EE43" s="170"/>
      <c r="EF43" s="170"/>
      <c r="EG43" s="170"/>
      <c r="EH43" s="170"/>
    </row>
    <row r="44" spans="2:138">
      <c r="B44" t="s">
        <v>415</v>
      </c>
      <c r="F44" s="20" t="b">
        <f>IF(F13='Phase II - Summary'!$J$45,SUM('Phase II - Pro Forma'!F42:F43,0))</f>
        <v>0</v>
      </c>
      <c r="G44" s="20" t="b">
        <f>IF(G13='Phase II - Summary'!$J$45,SUM('Phase II - Pro Forma'!G42:G43,0))</f>
        <v>0</v>
      </c>
      <c r="H44" s="20" t="b">
        <f>IF(H13='Phase II - Summary'!$J$45,SUM('Phase II - Pro Forma'!H42:H43,0))</f>
        <v>0</v>
      </c>
      <c r="I44" s="20" t="b">
        <f>IF(I13='Phase II - Summary'!$J$45,SUM('Phase II - Pro Forma'!I42:I43,0))</f>
        <v>0</v>
      </c>
      <c r="J44" s="20" t="b">
        <f>IF(J13='Phase II - Summary'!$J$45,SUM('Phase II - Pro Forma'!J42:J43,0))</f>
        <v>0</v>
      </c>
      <c r="K44" s="20" t="b">
        <f>IF(K13='Phase II - Summary'!$J$45,SUM('Phase II - Pro Forma'!K42:K43,0))</f>
        <v>0</v>
      </c>
      <c r="L44" s="20" t="b">
        <f>IF(L13='Phase II - Summary'!$J$45,SUM('Phase II - Pro Forma'!L42:L43,0))</f>
        <v>0</v>
      </c>
      <c r="M44" s="20" t="b">
        <f>IF(M13='Phase II - Summary'!$J$45,SUM('Phase II - Pro Forma'!M42:M43,0))</f>
        <v>0</v>
      </c>
      <c r="N44" s="20" t="b">
        <f>IF(N13='Phase II - Summary'!$J$45,SUM('Phase II - Pro Forma'!N42:N43,0))</f>
        <v>0</v>
      </c>
      <c r="O44" s="20" t="b">
        <f>IF(O13='Phase II - Summary'!$J$45,SUM('Phase II - Pro Forma'!O42:O43,0))</f>
        <v>0</v>
      </c>
      <c r="P44" s="20" t="b">
        <f>IF(P13='Phase II - Summary'!$J$45,SUM('Phase II - Pro Forma'!P42:P43,0))</f>
        <v>0</v>
      </c>
      <c r="Q44" s="20">
        <f>IF(Q13='Phase II - Summary'!$J$45,SUM('Phase II - Pro Forma'!Q42:Q43,0))</f>
        <v>734000342.49622953</v>
      </c>
      <c r="R44" s="20" t="b">
        <f>IF(R13='Phase II - Summary'!$J$45,SUM('Phase II - Pro Forma'!R42:R43,0))</f>
        <v>0</v>
      </c>
      <c r="S44" s="20" t="b">
        <f>IF(S13='Phase II - Summary'!$J$45,SUM('Phase II - Pro Forma'!S42:S43,0))</f>
        <v>0</v>
      </c>
      <c r="T44" s="20" t="b">
        <f>IF(T13='Phase II - Summary'!$J$45,SUM('Phase II - Pro Forma'!T42:T43,0))</f>
        <v>0</v>
      </c>
      <c r="U44" s="20" t="b">
        <f>IF(U13='Phase II - Summary'!$J$45,SUM('Phase II - Pro Forma'!U42:U43,0))</f>
        <v>0</v>
      </c>
      <c r="V44" s="20" t="b">
        <f>IF(V13='Phase II - Summary'!$J$45,SUM('Phase II - Pro Forma'!V42:V43,0))</f>
        <v>0</v>
      </c>
      <c r="W44" s="20" t="b">
        <f>IF(W13='Phase II - Summary'!$J$45,SUM('Phase II - Pro Forma'!W42:W43,0))</f>
        <v>0</v>
      </c>
      <c r="X44" s="20" t="b">
        <f>IF(X13='Phase II - Summary'!$J$45,SUM('Phase II - Pro Forma'!X42:X43,0))</f>
        <v>0</v>
      </c>
      <c r="Y44" s="20" t="b">
        <f>IF(Y13='Phase II - Summary'!$J$45,SUM('Phase II - Pro Forma'!Y42:Y43,0))</f>
        <v>0</v>
      </c>
      <c r="Z44" s="20" t="b">
        <f>IF(Z13='Phase II - Summary'!$J$45,SUM('Phase II - Pro Forma'!Z42:Z43,0))</f>
        <v>0</v>
      </c>
      <c r="AA44" s="20" t="b">
        <f>IF(AA13='Phase II - Summary'!$J$45,SUM('Phase II - Pro Forma'!AA42:AA43,0))</f>
        <v>0</v>
      </c>
      <c r="AB44" s="20" t="b">
        <f>IF(AB13='Phase II - Summary'!$J$45,SUM('Phase II - Pro Forma'!AB42:AB43,0))</f>
        <v>0</v>
      </c>
      <c r="AC44" s="20" t="b">
        <f>IF(AC13='Phase II - Summary'!$J$45,SUM('Phase II - Pro Forma'!AC42:AC43,0))</f>
        <v>0</v>
      </c>
      <c r="AD44" s="20" t="b">
        <f>IF(AD13='Phase II - Summary'!$J$45,SUM('Phase II - Pro Forma'!AD42:AD43,0))</f>
        <v>0</v>
      </c>
      <c r="AE44" s="20" t="b">
        <f>IF(AE13='Phase II - Summary'!$J$45,SUM('Phase II - Pro Forma'!AE42:AE43,0))</f>
        <v>0</v>
      </c>
      <c r="AF44" s="20" t="b">
        <f>IF(AF13='Phase II - Summary'!$J$45,SUM('Phase II - Pro Forma'!AF42:AF43,0))</f>
        <v>0</v>
      </c>
      <c r="AG44" s="20" t="b">
        <f>IF(AG13='Phase II - Summary'!$J$45,SUM('Phase II - Pro Forma'!AG42:AG43,0))</f>
        <v>0</v>
      </c>
      <c r="AH44" s="20" t="b">
        <f>IF(AH13='Phase II - Summary'!$J$45,SUM('Phase II - Pro Forma'!AH42:AH43,0))</f>
        <v>0</v>
      </c>
      <c r="AI44" s="20" t="b">
        <f>IF(AI13='Phase II - Summary'!$J$45,SUM('Phase II - Pro Forma'!AI42:AI43,0))</f>
        <v>0</v>
      </c>
      <c r="AJ44" s="20" t="b">
        <f>IF(AJ13='Phase II - Summary'!$J$45,SUM('Phase II - Pro Forma'!AJ42:AJ43,0))</f>
        <v>0</v>
      </c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  <c r="EE44" s="170"/>
      <c r="EF44" s="170"/>
      <c r="EG44" s="170"/>
      <c r="EH44" s="170"/>
    </row>
    <row r="46" spans="2:138" ht="13.8" thickBot="1">
      <c r="B46" t="s">
        <v>416</v>
      </c>
      <c r="D46" s="6">
        <f>SUM(F46:AJ46)</f>
        <v>387840685.11782229</v>
      </c>
      <c r="F46" s="6">
        <f>IF(F13&lt;='Phase II - Summary'!$J$45,F40-F22+F44,0)</f>
        <v>-104048017</v>
      </c>
      <c r="G46" s="6">
        <f>IF(G13&lt;='Phase II - Summary'!$J$45,G40-G22+G44,0)</f>
        <v>0</v>
      </c>
      <c r="H46" s="6">
        <f>IF(H13&lt;='Phase II - Summary'!$J$45,H40-H22+H44,0)</f>
        <v>0</v>
      </c>
      <c r="I46" s="6">
        <f>IF(I13&lt;='Phase II - Summary'!$J$45,I40-I22+I44,0)</f>
        <v>0</v>
      </c>
      <c r="J46" s="6">
        <f>IF(J13&lt;='Phase II - Summary'!$J$45,J40-J22+J44,0)</f>
        <v>0</v>
      </c>
      <c r="K46" s="6">
        <f>IF(K13&lt;='Phase II - Summary'!$J$45,K40-K22+K44,0)</f>
        <v>-130789486.7202301</v>
      </c>
      <c r="L46" s="6">
        <f>IF(L13&lt;='Phase II - Summary'!$J$45,L40-L22+L44,0)</f>
        <v>-130789486.7202301</v>
      </c>
      <c r="M46" s="6">
        <f>IF(M13&lt;='Phase II - Summary'!$J$45,M40-M22+M44,0)</f>
        <v>-130789486.7202301</v>
      </c>
      <c r="N46" s="6">
        <f>IF(N13&lt;='Phase II - Summary'!$J$45,N40-N22+N44,0)</f>
        <v>35706114.957173079</v>
      </c>
      <c r="O46" s="6">
        <f>IF(O13&lt;='Phase II - Summary'!$J$45,O40-O22+O44,0)</f>
        <v>36921928.641335987</v>
      </c>
      <c r="P46" s="6">
        <f>IF(P13&lt;='Phase II - Summary'!$J$45,P40-P22+P44,0)</f>
        <v>38171892.582067966</v>
      </c>
      <c r="Q46" s="6">
        <f>IF(Q13&lt;='Phase II - Summary'!$J$45,Q40-Q22+Q44,0)</f>
        <v>773457226.09793556</v>
      </c>
      <c r="R46" s="6">
        <f>IF(R13&lt;='Phase II - Summary'!$J$45,R40-R22+R44,0)</f>
        <v>0</v>
      </c>
      <c r="S46" s="6">
        <f>IF(S13&lt;='Phase II - Summary'!$J$45,S40-S22+S44,0)</f>
        <v>0</v>
      </c>
      <c r="T46" s="6">
        <f>IF(T13&lt;='Phase II - Summary'!$J$45,T40-T22+T44,0)</f>
        <v>0</v>
      </c>
      <c r="U46" s="6">
        <f>IF(U13&lt;='Phase II - Summary'!$J$45,U40-U22+U44,0)</f>
        <v>0</v>
      </c>
      <c r="V46" s="6">
        <f>IF(V13&lt;='Phase II - Summary'!$J$45,V40-V22+V44,0)</f>
        <v>0</v>
      </c>
      <c r="W46" s="6">
        <f>IF(W13&lt;='Phase II - Summary'!$J$45,W40-W22+W44,0)</f>
        <v>0</v>
      </c>
      <c r="X46" s="6">
        <f>IF(X13&lt;='Phase II - Summary'!$J$45,X40-X22+X44,0)</f>
        <v>0</v>
      </c>
      <c r="Y46" s="6">
        <f>IF(Y13&lt;='Phase II - Summary'!$J$45,Y40-Y22+Y44,0)</f>
        <v>0</v>
      </c>
      <c r="Z46" s="6">
        <f>IF(Z13&lt;='Phase II - Summary'!$J$45,Z40-Z22+Z44,0)</f>
        <v>0</v>
      </c>
      <c r="AA46" s="6">
        <f>IF(AA13&lt;='Phase II - Summary'!$J$45,AA40-AA22+AA44,0)</f>
        <v>0</v>
      </c>
      <c r="AB46" s="6">
        <f>IF(AB13&lt;='Phase II - Summary'!$J$45,AB40-AB22+AB44,0)</f>
        <v>0</v>
      </c>
      <c r="AC46" s="6">
        <f>IF(AC13&lt;='Phase II - Summary'!$J$45,AC40-AC22+AC44,0)</f>
        <v>0</v>
      </c>
      <c r="AD46" s="6">
        <f>IF(AD13&lt;='Phase II - Summary'!$J$45,AD40-AD22+AD44,0)</f>
        <v>0</v>
      </c>
      <c r="AE46" s="6">
        <f>IF(AE13&lt;='Phase II - Summary'!$J$45,AE40-AE22+AE44,0)</f>
        <v>0</v>
      </c>
      <c r="AF46" s="6">
        <f>IF(AF13&lt;='Phase II - Summary'!$J$45,AF40-AF22+AF44,0)</f>
        <v>0</v>
      </c>
      <c r="AG46" s="6">
        <f>IF(AG13&lt;='Phase II - Summary'!$J$45,AG40-AG22+AG44,0)</f>
        <v>0</v>
      </c>
      <c r="AH46" s="6">
        <f>IF(AH13&lt;='Phase II - Summary'!$J$45,AH40-AH22+AH44,0)</f>
        <v>0</v>
      </c>
      <c r="AI46" s="6">
        <f>IF(AI13&lt;='Phase II - Summary'!$J$45,AI40-AI22+AI44,0)</f>
        <v>0</v>
      </c>
      <c r="AJ46" s="6">
        <f>IF(AJ13&lt;='Phase II - Summary'!$J$45,AJ40-AJ22+AJ44,0)</f>
        <v>0</v>
      </c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  <c r="EE46" s="170"/>
      <c r="EF46" s="170"/>
      <c r="EG46" s="170"/>
      <c r="EH46" s="170"/>
    </row>
    <row r="47" spans="2:138" ht="14.4">
      <c r="B47" s="24" t="s">
        <v>417</v>
      </c>
      <c r="C47" s="25"/>
      <c r="D47" s="26">
        <f>IRR(F46:AJ46)</f>
        <v>9.5855317354455405E-2</v>
      </c>
    </row>
    <row r="48" spans="2:138" ht="15" thickBot="1">
      <c r="B48" s="27" t="s">
        <v>418</v>
      </c>
      <c r="C48" s="28"/>
      <c r="D48" s="29">
        <f>-SUMIF(F46:AJ46,"&gt;0")/SUMIF(F46:AJ46,"&lt;0")</f>
        <v>1.781280845744929</v>
      </c>
    </row>
    <row r="49" spans="2:138">
      <c r="D49" s="3"/>
    </row>
    <row r="50" spans="2:138" ht="14.4">
      <c r="B50" s="9" t="s">
        <v>419</v>
      </c>
      <c r="D50" s="16" t="s">
        <v>16</v>
      </c>
    </row>
    <row r="51" spans="2:138">
      <c r="B51" s="30" t="s">
        <v>420</v>
      </c>
      <c r="D51" s="3"/>
      <c r="F51" s="6">
        <f ca="1">'Phase II - Summary'!H24</f>
        <v>159004440.64957145</v>
      </c>
      <c r="G51" s="6">
        <f ca="1">F53</f>
        <v>54956423.649571449</v>
      </c>
      <c r="H51" s="6">
        <f t="shared" ref="H51:AJ51" ca="1" si="9">G53</f>
        <v>54956423.649571449</v>
      </c>
      <c r="I51" s="6">
        <f t="shared" ca="1" si="9"/>
        <v>54956423.649571449</v>
      </c>
      <c r="J51" s="6">
        <f t="shared" ca="1" si="9"/>
        <v>54956423.649571568</v>
      </c>
      <c r="K51" s="6">
        <f t="shared" ca="1" si="9"/>
        <v>54956423.649571568</v>
      </c>
      <c r="L51" s="6">
        <f t="shared" ca="1" si="9"/>
        <v>0</v>
      </c>
      <c r="M51" s="6">
        <f t="shared" ca="1" si="9"/>
        <v>0</v>
      </c>
      <c r="N51" s="6">
        <f t="shared" ca="1" si="9"/>
        <v>0</v>
      </c>
      <c r="O51" s="6">
        <f t="shared" ca="1" si="9"/>
        <v>0</v>
      </c>
      <c r="P51" s="6">
        <f t="shared" ca="1" si="9"/>
        <v>0</v>
      </c>
      <c r="Q51" s="6">
        <f t="shared" ca="1" si="9"/>
        <v>0</v>
      </c>
      <c r="R51" s="6">
        <f t="shared" ca="1" si="9"/>
        <v>0</v>
      </c>
      <c r="S51" s="6">
        <f t="shared" ca="1" si="9"/>
        <v>0</v>
      </c>
      <c r="T51" s="6">
        <f t="shared" ca="1" si="9"/>
        <v>0</v>
      </c>
      <c r="U51" s="6">
        <f t="shared" ca="1" si="9"/>
        <v>0</v>
      </c>
      <c r="V51" s="6">
        <f t="shared" ca="1" si="9"/>
        <v>0</v>
      </c>
      <c r="W51" s="6">
        <f t="shared" ca="1" si="9"/>
        <v>0</v>
      </c>
      <c r="X51" s="6">
        <f t="shared" ca="1" si="9"/>
        <v>0</v>
      </c>
      <c r="Y51" s="6">
        <f t="shared" ca="1" si="9"/>
        <v>0</v>
      </c>
      <c r="Z51" s="6">
        <f t="shared" ca="1" si="9"/>
        <v>0</v>
      </c>
      <c r="AA51" s="6">
        <f t="shared" ca="1" si="9"/>
        <v>0</v>
      </c>
      <c r="AB51" s="6">
        <f t="shared" ca="1" si="9"/>
        <v>0</v>
      </c>
      <c r="AC51" s="6">
        <f t="shared" ca="1" si="9"/>
        <v>0</v>
      </c>
      <c r="AD51" s="6">
        <f t="shared" ca="1" si="9"/>
        <v>0</v>
      </c>
      <c r="AE51" s="6">
        <f t="shared" ca="1" si="9"/>
        <v>0</v>
      </c>
      <c r="AF51" s="6">
        <f t="shared" ca="1" si="9"/>
        <v>0</v>
      </c>
      <c r="AG51" s="6">
        <f t="shared" ca="1" si="9"/>
        <v>0</v>
      </c>
      <c r="AH51" s="6">
        <f t="shared" ca="1" si="9"/>
        <v>0</v>
      </c>
      <c r="AI51" s="6">
        <f t="shared" ca="1" si="9"/>
        <v>0</v>
      </c>
      <c r="AJ51" s="6">
        <f t="shared" ca="1" si="9"/>
        <v>0</v>
      </c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  <c r="CR51" s="170"/>
      <c r="CS51" s="170"/>
      <c r="CT51" s="170"/>
      <c r="CU51" s="170"/>
      <c r="CV51" s="170"/>
      <c r="CW51" s="170"/>
      <c r="CX51" s="170"/>
      <c r="CY51" s="170"/>
      <c r="CZ51" s="170"/>
      <c r="DA51" s="170"/>
      <c r="DB51" s="170"/>
      <c r="DC51" s="170"/>
      <c r="DD51" s="170"/>
      <c r="DE51" s="170"/>
      <c r="DF51" s="170"/>
      <c r="DG51" s="170"/>
      <c r="DH51" s="170"/>
      <c r="DI51" s="170"/>
      <c r="DJ51" s="170"/>
      <c r="DK51" s="170"/>
      <c r="DL51" s="170"/>
      <c r="DM51" s="170"/>
      <c r="DN51" s="170"/>
      <c r="DO51" s="170"/>
      <c r="DP51" s="170"/>
      <c r="DQ51" s="170"/>
      <c r="DR51" s="170"/>
      <c r="DS51" s="170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  <c r="EE51" s="170"/>
      <c r="EF51" s="170"/>
      <c r="EG51" s="170"/>
      <c r="EH51" s="170"/>
    </row>
    <row r="52" spans="2:138">
      <c r="B52" s="30" t="s">
        <v>421</v>
      </c>
      <c r="D52" s="19">
        <f ca="1">SUM(F52:DV52)</f>
        <v>159004440.64957133</v>
      </c>
      <c r="F52" s="6">
        <f ca="1">MIN(F51,ABS(F46))</f>
        <v>104048017</v>
      </c>
      <c r="G52" s="6">
        <f t="shared" ref="G52:AJ52" ca="1" si="10">MIN(G51,ABS(G46))</f>
        <v>0</v>
      </c>
      <c r="H52" s="6">
        <f t="shared" ca="1" si="10"/>
        <v>0</v>
      </c>
      <c r="I52" s="6">
        <f t="shared" ca="1" si="10"/>
        <v>0</v>
      </c>
      <c r="J52" s="6">
        <f t="shared" ca="1" si="10"/>
        <v>0</v>
      </c>
      <c r="K52" s="6">
        <f t="shared" ca="1" si="10"/>
        <v>54956423.649571568</v>
      </c>
      <c r="L52" s="6">
        <f t="shared" ca="1" si="10"/>
        <v>0</v>
      </c>
      <c r="M52" s="6">
        <f t="shared" ca="1" si="10"/>
        <v>0</v>
      </c>
      <c r="N52" s="6">
        <f t="shared" ca="1" si="10"/>
        <v>0</v>
      </c>
      <c r="O52" s="6">
        <f t="shared" ca="1" si="10"/>
        <v>0</v>
      </c>
      <c r="P52" s="6">
        <f t="shared" ca="1" si="10"/>
        <v>0</v>
      </c>
      <c r="Q52" s="6">
        <f t="shared" ca="1" si="10"/>
        <v>0</v>
      </c>
      <c r="R52" s="6">
        <f t="shared" ca="1" si="10"/>
        <v>0</v>
      </c>
      <c r="S52" s="6">
        <f t="shared" ca="1" si="10"/>
        <v>0</v>
      </c>
      <c r="T52" s="6">
        <f t="shared" ca="1" si="10"/>
        <v>0</v>
      </c>
      <c r="U52" s="6">
        <f t="shared" ca="1" si="10"/>
        <v>0</v>
      </c>
      <c r="V52" s="6">
        <f t="shared" ca="1" si="10"/>
        <v>0</v>
      </c>
      <c r="W52" s="6">
        <f t="shared" ca="1" si="10"/>
        <v>0</v>
      </c>
      <c r="X52" s="6">
        <f t="shared" ca="1" si="10"/>
        <v>0</v>
      </c>
      <c r="Y52" s="6">
        <f t="shared" ca="1" si="10"/>
        <v>0</v>
      </c>
      <c r="Z52" s="6">
        <f t="shared" ca="1" si="10"/>
        <v>0</v>
      </c>
      <c r="AA52" s="6">
        <f t="shared" ca="1" si="10"/>
        <v>0</v>
      </c>
      <c r="AB52" s="6">
        <f t="shared" ca="1" si="10"/>
        <v>0</v>
      </c>
      <c r="AC52" s="6">
        <f t="shared" ca="1" si="10"/>
        <v>0</v>
      </c>
      <c r="AD52" s="6">
        <f t="shared" ca="1" si="10"/>
        <v>0</v>
      </c>
      <c r="AE52" s="6">
        <f t="shared" ca="1" si="10"/>
        <v>0</v>
      </c>
      <c r="AF52" s="6">
        <f t="shared" ca="1" si="10"/>
        <v>0</v>
      </c>
      <c r="AG52" s="6">
        <f t="shared" ca="1" si="10"/>
        <v>0</v>
      </c>
      <c r="AH52" s="6">
        <f t="shared" ca="1" si="10"/>
        <v>0</v>
      </c>
      <c r="AI52" s="6">
        <f t="shared" ca="1" si="10"/>
        <v>0</v>
      </c>
      <c r="AJ52" s="6">
        <f t="shared" ca="1" si="10"/>
        <v>0</v>
      </c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0"/>
      <c r="DF52" s="170"/>
      <c r="DG52" s="170"/>
      <c r="DH52" s="170"/>
      <c r="DI52" s="170"/>
      <c r="DJ52" s="170"/>
      <c r="DK52" s="170"/>
      <c r="DL52" s="170"/>
      <c r="DM52" s="170"/>
      <c r="DN52" s="170"/>
      <c r="DO52" s="170"/>
      <c r="DP52" s="170"/>
      <c r="DQ52" s="170"/>
      <c r="DR52" s="170"/>
      <c r="DS52" s="170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  <c r="EE52" s="170"/>
      <c r="EF52" s="170"/>
      <c r="EG52" s="170"/>
      <c r="EH52" s="170"/>
    </row>
    <row r="53" spans="2:138">
      <c r="B53" s="30" t="s">
        <v>422</v>
      </c>
      <c r="D53" s="3"/>
      <c r="F53" s="6">
        <f ca="1">MAX(F51-F52,0)</f>
        <v>54956423.649571449</v>
      </c>
      <c r="G53" s="6">
        <f t="shared" ref="G53:AJ53" ca="1" si="11">MAX(G51-G52,0)</f>
        <v>54956423.649571449</v>
      </c>
      <c r="H53" s="6">
        <f t="shared" ca="1" si="11"/>
        <v>54956423.649571449</v>
      </c>
      <c r="I53" s="6">
        <f t="shared" ca="1" si="11"/>
        <v>54956423.649571449</v>
      </c>
      <c r="J53" s="6">
        <f t="shared" ca="1" si="11"/>
        <v>54956423.649571568</v>
      </c>
      <c r="K53" s="6">
        <f t="shared" ca="1" si="11"/>
        <v>0</v>
      </c>
      <c r="L53" s="6">
        <f t="shared" ca="1" si="11"/>
        <v>0</v>
      </c>
      <c r="M53" s="6">
        <f t="shared" ca="1" si="11"/>
        <v>0</v>
      </c>
      <c r="N53" s="6">
        <f t="shared" ca="1" si="11"/>
        <v>0</v>
      </c>
      <c r="O53" s="6">
        <f t="shared" ca="1" si="11"/>
        <v>0</v>
      </c>
      <c r="P53" s="6">
        <f t="shared" ca="1" si="11"/>
        <v>0</v>
      </c>
      <c r="Q53" s="6">
        <f t="shared" ca="1" si="11"/>
        <v>0</v>
      </c>
      <c r="R53" s="6">
        <f t="shared" ca="1" si="11"/>
        <v>0</v>
      </c>
      <c r="S53" s="6">
        <f t="shared" ca="1" si="11"/>
        <v>0</v>
      </c>
      <c r="T53" s="6">
        <f t="shared" ca="1" si="11"/>
        <v>0</v>
      </c>
      <c r="U53" s="6">
        <f t="shared" ca="1" si="11"/>
        <v>0</v>
      </c>
      <c r="V53" s="6">
        <f t="shared" ca="1" si="11"/>
        <v>0</v>
      </c>
      <c r="W53" s="6">
        <f t="shared" ca="1" si="11"/>
        <v>0</v>
      </c>
      <c r="X53" s="6">
        <f t="shared" ca="1" si="11"/>
        <v>0</v>
      </c>
      <c r="Y53" s="6">
        <f t="shared" ca="1" si="11"/>
        <v>0</v>
      </c>
      <c r="Z53" s="6">
        <f t="shared" ca="1" si="11"/>
        <v>0</v>
      </c>
      <c r="AA53" s="6">
        <f t="shared" ca="1" si="11"/>
        <v>0</v>
      </c>
      <c r="AB53" s="6">
        <f t="shared" ca="1" si="11"/>
        <v>0</v>
      </c>
      <c r="AC53" s="6">
        <f t="shared" ca="1" si="11"/>
        <v>0</v>
      </c>
      <c r="AD53" s="6">
        <f t="shared" ca="1" si="11"/>
        <v>0</v>
      </c>
      <c r="AE53" s="6">
        <f t="shared" ca="1" si="11"/>
        <v>0</v>
      </c>
      <c r="AF53" s="6">
        <f t="shared" ca="1" si="11"/>
        <v>0</v>
      </c>
      <c r="AG53" s="6">
        <f t="shared" ca="1" si="11"/>
        <v>0</v>
      </c>
      <c r="AH53" s="6">
        <f t="shared" ca="1" si="11"/>
        <v>0</v>
      </c>
      <c r="AI53" s="6">
        <f t="shared" ca="1" si="11"/>
        <v>0</v>
      </c>
      <c r="AJ53" s="6">
        <f t="shared" ca="1" si="11"/>
        <v>0</v>
      </c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  <c r="EE53" s="170"/>
      <c r="EF53" s="170"/>
      <c r="EG53" s="170"/>
      <c r="EH53" s="170"/>
    </row>
    <row r="54" spans="2:138">
      <c r="D54" s="3"/>
    </row>
    <row r="55" spans="2:138">
      <c r="B55" t="s">
        <v>423</v>
      </c>
      <c r="D55" s="3"/>
      <c r="F55" s="6">
        <f ca="1">F40-F22+F44+F52</f>
        <v>0</v>
      </c>
      <c r="G55" s="6">
        <f t="shared" ref="G55:AJ55" ca="1" si="12">G40-G22+G44+G52</f>
        <v>0</v>
      </c>
      <c r="H55" s="6">
        <f t="shared" ca="1" si="12"/>
        <v>0</v>
      </c>
      <c r="I55" s="6">
        <f t="shared" ca="1" si="12"/>
        <v>0</v>
      </c>
      <c r="J55" s="6">
        <f t="shared" ca="1" si="12"/>
        <v>0</v>
      </c>
      <c r="K55" s="6">
        <f t="shared" ca="1" si="12"/>
        <v>-75833063.070658535</v>
      </c>
      <c r="L55" s="6">
        <f t="shared" ca="1" si="12"/>
        <v>-130789486.7202301</v>
      </c>
      <c r="M55" s="6">
        <f t="shared" ca="1" si="12"/>
        <v>-130789486.7202301</v>
      </c>
      <c r="N55" s="6">
        <f t="shared" ca="1" si="12"/>
        <v>35706114.957173079</v>
      </c>
      <c r="O55" s="6">
        <f t="shared" ca="1" si="12"/>
        <v>36921928.641335987</v>
      </c>
      <c r="P55" s="6">
        <f t="shared" ca="1" si="12"/>
        <v>38171892.582067966</v>
      </c>
      <c r="Q55" s="6">
        <f t="shared" ca="1" si="12"/>
        <v>773457226.09793556</v>
      </c>
      <c r="R55" s="6">
        <f t="shared" ca="1" si="12"/>
        <v>40777796.805346087</v>
      </c>
      <c r="S55" s="6">
        <f t="shared" ca="1" si="12"/>
        <v>42135545.71456217</v>
      </c>
      <c r="T55" s="6">
        <f t="shared" ca="1" si="12"/>
        <v>43531062.384060085</v>
      </c>
      <c r="U55" s="6">
        <f t="shared" ca="1" si="12"/>
        <v>44965297.499686636</v>
      </c>
      <c r="V55" s="6">
        <f t="shared" ca="1" si="12"/>
        <v>46439220.456117891</v>
      </c>
      <c r="W55" s="6">
        <f t="shared" ca="1" si="12"/>
        <v>47953819.412441209</v>
      </c>
      <c r="X55" s="6">
        <f t="shared" ca="1" si="12"/>
        <v>49510101.323733687</v>
      </c>
      <c r="Y55" s="6">
        <f t="shared" ca="1" si="12"/>
        <v>51109091.946620166</v>
      </c>
      <c r="Z55" s="6">
        <f t="shared" ca="1" si="12"/>
        <v>52751835.816668674</v>
      </c>
      <c r="AA55" s="6">
        <f t="shared" ca="1" si="12"/>
        <v>54439396.19534716</v>
      </c>
      <c r="AB55" s="6">
        <f t="shared" ca="1" si="12"/>
        <v>56172854.9841263</v>
      </c>
      <c r="AC55" s="6">
        <f t="shared" ca="1" si="12"/>
        <v>57953312.603163272</v>
      </c>
      <c r="AD55" s="6">
        <f t="shared" ca="1" si="12"/>
        <v>59781887.831846684</v>
      </c>
      <c r="AE55" s="6">
        <f t="shared" ca="1" si="12"/>
        <v>61659717.608315706</v>
      </c>
      <c r="AF55" s="6">
        <f t="shared" ca="1" si="12"/>
        <v>63587956.784893684</v>
      </c>
      <c r="AG55" s="6">
        <f t="shared" ca="1" si="12"/>
        <v>65567777.836191252</v>
      </c>
      <c r="AH55" s="6">
        <f t="shared" ca="1" si="12"/>
        <v>67600370.516440213</v>
      </c>
      <c r="AI55" s="6">
        <f t="shared" ca="1" si="12"/>
        <v>69686941.462414354</v>
      </c>
      <c r="AJ55" s="6">
        <f t="shared" ca="1" si="12"/>
        <v>71828713.738077268</v>
      </c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0"/>
      <c r="DF55" s="170"/>
      <c r="DG55" s="170"/>
      <c r="DH55" s="170"/>
      <c r="DI55" s="170"/>
      <c r="DJ55" s="170"/>
      <c r="DK55" s="170"/>
      <c r="DL55" s="170"/>
      <c r="DM55" s="170"/>
      <c r="DN55" s="170"/>
      <c r="DO55" s="170"/>
      <c r="DP55" s="170"/>
      <c r="DQ55" s="170"/>
      <c r="DR55" s="170"/>
      <c r="DS55" s="170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  <c r="EE55" s="170"/>
      <c r="EF55" s="170"/>
      <c r="EG55" s="170"/>
      <c r="EH55" s="170"/>
    </row>
    <row r="56" spans="2:138">
      <c r="D56" s="3"/>
    </row>
    <row r="57" spans="2:138" ht="14.4">
      <c r="B57" s="9" t="s">
        <v>424</v>
      </c>
      <c r="D57" s="3"/>
    </row>
    <row r="58" spans="2:138">
      <c r="B58" t="s">
        <v>425</v>
      </c>
      <c r="D58" s="3"/>
      <c r="F58" s="168">
        <f>E63</f>
        <v>0</v>
      </c>
      <c r="G58" s="168">
        <f t="shared" ref="G58:AJ58" ca="1" si="13">F63</f>
        <v>0</v>
      </c>
      <c r="H58" s="168">
        <f t="shared" ca="1" si="13"/>
        <v>0</v>
      </c>
      <c r="I58" s="168">
        <f t="shared" ca="1" si="13"/>
        <v>0</v>
      </c>
      <c r="J58" s="168">
        <f t="shared" ca="1" si="13"/>
        <v>0</v>
      </c>
      <c r="K58" s="168">
        <f t="shared" ca="1" si="13"/>
        <v>0</v>
      </c>
      <c r="L58" s="168">
        <f t="shared" ca="1" si="13"/>
        <v>80050972.988457382</v>
      </c>
      <c r="M58" s="168">
        <f t="shared" ca="1" si="13"/>
        <v>216444027.8178795</v>
      </c>
      <c r="N58" s="168">
        <f t="shared" ca="1" si="13"/>
        <v>362384596.48536092</v>
      </c>
      <c r="O58" s="168">
        <f t="shared" ca="1" si="13"/>
        <v>387751518.23933619</v>
      </c>
      <c r="P58" s="168">
        <f t="shared" ca="1" si="13"/>
        <v>414894124.51608998</v>
      </c>
      <c r="Q58" s="168">
        <f t="shared" ca="1" si="13"/>
        <v>443936713.2322163</v>
      </c>
      <c r="R58" s="168">
        <f t="shared" ca="1" si="13"/>
        <v>0</v>
      </c>
      <c r="S58" s="168">
        <f t="shared" ca="1" si="13"/>
        <v>0</v>
      </c>
      <c r="T58" s="168">
        <f t="shared" ca="1" si="13"/>
        <v>0</v>
      </c>
      <c r="U58" s="168">
        <f t="shared" ca="1" si="13"/>
        <v>0</v>
      </c>
      <c r="V58" s="168">
        <f t="shared" ca="1" si="13"/>
        <v>0</v>
      </c>
      <c r="W58" s="168">
        <f t="shared" ca="1" si="13"/>
        <v>0</v>
      </c>
      <c r="X58" s="168">
        <f t="shared" ca="1" si="13"/>
        <v>0</v>
      </c>
      <c r="Y58" s="168">
        <f t="shared" ca="1" si="13"/>
        <v>0</v>
      </c>
      <c r="Z58" s="168">
        <f t="shared" ca="1" si="13"/>
        <v>0</v>
      </c>
      <c r="AA58" s="168">
        <f t="shared" ca="1" si="13"/>
        <v>0</v>
      </c>
      <c r="AB58" s="168">
        <f t="shared" ca="1" si="13"/>
        <v>0</v>
      </c>
      <c r="AC58" s="168">
        <f t="shared" ca="1" si="13"/>
        <v>0</v>
      </c>
      <c r="AD58" s="168">
        <f t="shared" ca="1" si="13"/>
        <v>0</v>
      </c>
      <c r="AE58" s="168">
        <f t="shared" ca="1" si="13"/>
        <v>0</v>
      </c>
      <c r="AF58" s="168">
        <f t="shared" ca="1" si="13"/>
        <v>0</v>
      </c>
      <c r="AG58" s="168">
        <f t="shared" ca="1" si="13"/>
        <v>0</v>
      </c>
      <c r="AH58" s="168">
        <f t="shared" ca="1" si="13"/>
        <v>0</v>
      </c>
      <c r="AI58" s="168">
        <f t="shared" ca="1" si="13"/>
        <v>0</v>
      </c>
      <c r="AJ58" s="168">
        <f t="shared" ca="1" si="13"/>
        <v>0</v>
      </c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  <c r="EE58" s="170"/>
      <c r="EF58" s="170"/>
      <c r="EG58" s="170"/>
      <c r="EH58" s="170"/>
    </row>
    <row r="59" spans="2:138">
      <c r="B59" t="s">
        <v>426</v>
      </c>
      <c r="D59" s="19">
        <f ca="1">SUM(F59:R59)</f>
        <v>4217909.9177986132</v>
      </c>
      <c r="F59" s="168">
        <f>IF(F13='Phase II - Summary'!$D$21,'Phase II - Summary'!$J$37*'Phase II - Summary'!$J$36,0)</f>
        <v>0</v>
      </c>
      <c r="G59" s="168">
        <f>IF(G13='Phase II - Summary'!$D$21,'Phase II - Summary'!$J$37*'Phase II - Summary'!$J$36,0)</f>
        <v>0</v>
      </c>
      <c r="H59" s="168">
        <f>IF(H13='Phase II - Summary'!$D$21,'Phase II - Summary'!$J$37*'Phase II - Summary'!$J$36,0)</f>
        <v>0</v>
      </c>
      <c r="I59" s="168">
        <f>IF(I13='Phase II - Summary'!$D$21,'Phase II - Summary'!$J$37*'Phase II - Summary'!$J$36,0)</f>
        <v>0</v>
      </c>
      <c r="J59" s="168">
        <f>IF(J13='Phase II - Summary'!$D$21,'Phase II - Summary'!$J$37*'Phase II - Summary'!$J$36,0)</f>
        <v>0</v>
      </c>
      <c r="K59" s="168">
        <f ca="1">IF(K13='Phase II - Summary'!$D$21,'Phase II - Summary'!$J$37*'Phase II - Summary'!$J$36,0)</f>
        <v>4217909.9177986132</v>
      </c>
      <c r="L59" s="168">
        <f>IF(L13='Phase II - Summary'!$D$21,'Phase II - Summary'!$J$37*'Phase II - Summary'!$J$36,0)</f>
        <v>0</v>
      </c>
      <c r="M59" s="168">
        <f>IF(M13='Phase II - Summary'!$D$21,'Phase II - Summary'!$J$37*'Phase II - Summary'!$J$36,0)</f>
        <v>0</v>
      </c>
      <c r="N59" s="168">
        <f>IF(N13='Phase II - Summary'!$D$21,'Phase II - Summary'!$J$37*'Phase II - Summary'!$J$36,0)</f>
        <v>0</v>
      </c>
      <c r="O59" s="168">
        <f>IF(O13='Phase II - Summary'!$D$21,'Phase II - Summary'!$J$37*'Phase II - Summary'!$J$36,0)</f>
        <v>0</v>
      </c>
      <c r="P59" s="168">
        <f>IF(P13='Phase II - Summary'!$D$21,'Phase II - Summary'!$J$37*'Phase II - Summary'!$J$36,0)</f>
        <v>0</v>
      </c>
      <c r="Q59" s="168">
        <f>IF(Q13='Phase II - Summary'!$D$21,'Phase II - Summary'!$J$37*'Phase II - Summary'!$J$36,0)</f>
        <v>0</v>
      </c>
      <c r="R59" s="168">
        <f>IF(R13='Phase II - Summary'!$D$21,'Phase II - Summary'!$J$37*'Phase II - Summary'!$J$36,0)</f>
        <v>0</v>
      </c>
      <c r="S59" s="168">
        <f>IF(S13='Phase II - Summary'!$D$21,'Phase II - Summary'!$J$37*'Phase II - Summary'!$J$36,0)</f>
        <v>0</v>
      </c>
      <c r="T59" s="168">
        <f>IF(T13='Phase II - Summary'!$D$21,'Phase II - Summary'!$J$37*'Phase II - Summary'!$J$36,0)</f>
        <v>0</v>
      </c>
      <c r="U59" s="168">
        <f>IF(U13='Phase II - Summary'!$D$21,'Phase II - Summary'!$J$37*'Phase II - Summary'!$J$36,0)</f>
        <v>0</v>
      </c>
      <c r="V59" s="168">
        <f>IF(V13='Phase II - Summary'!$D$21,'Phase II - Summary'!$J$37*'Phase II - Summary'!$J$36,0)</f>
        <v>0</v>
      </c>
      <c r="W59" s="168">
        <f>IF(W13='Phase II - Summary'!$D$21,'Phase II - Summary'!$J$37*'Phase II - Summary'!$J$36,0)</f>
        <v>0</v>
      </c>
      <c r="X59" s="168">
        <f>IF(X13='Phase II - Summary'!$D$21,'Phase II - Summary'!$J$37*'Phase II - Summary'!$J$36,0)</f>
        <v>0</v>
      </c>
      <c r="Y59" s="168">
        <f>IF(Y13='Phase II - Summary'!$D$21,'Phase II - Summary'!$J$37*'Phase II - Summary'!$J$36,0)</f>
        <v>0</v>
      </c>
      <c r="Z59" s="168">
        <f>IF(Z13='Phase II - Summary'!$D$21,'Phase II - Summary'!$J$37*'Phase II - Summary'!$J$36,0)</f>
        <v>0</v>
      </c>
      <c r="AA59" s="168">
        <f>IF(AA13='Phase II - Summary'!$D$21,'Phase II - Summary'!$J$37*'Phase II - Summary'!$J$36,0)</f>
        <v>0</v>
      </c>
      <c r="AB59" s="168">
        <f>IF(AB13='Phase II - Summary'!$D$21,'Phase II - Summary'!$J$37*'Phase II - Summary'!$J$36,0)</f>
        <v>0</v>
      </c>
      <c r="AC59" s="168">
        <f>IF(AC13='Phase II - Summary'!$D$21,'Phase II - Summary'!$J$37*'Phase II - Summary'!$J$36,0)</f>
        <v>0</v>
      </c>
      <c r="AD59" s="168">
        <f>IF(AD13='Phase II - Summary'!$D$21,'Phase II - Summary'!$J$37*'Phase II - Summary'!$J$36,0)</f>
        <v>0</v>
      </c>
      <c r="AE59" s="168">
        <f>IF(AE13='Phase II - Summary'!$D$21,'Phase II - Summary'!$J$37*'Phase II - Summary'!$J$36,0)</f>
        <v>0</v>
      </c>
      <c r="AF59" s="168">
        <f>IF(AF13='Phase II - Summary'!$D$21,'Phase II - Summary'!$J$37*'Phase II - Summary'!$J$36,0)</f>
        <v>0</v>
      </c>
      <c r="AG59" s="168">
        <f>IF(AG13='Phase II - Summary'!$D$21,'Phase II - Summary'!$J$37*'Phase II - Summary'!$J$36,0)</f>
        <v>0</v>
      </c>
      <c r="AH59" s="168">
        <f>IF(AH13='Phase II - Summary'!$D$21,'Phase II - Summary'!$J$37*'Phase II - Summary'!$J$36,0)</f>
        <v>0</v>
      </c>
      <c r="AI59" s="168">
        <f>IF(AI13='Phase II - Summary'!$D$21,'Phase II - Summary'!$J$37*'Phase II - Summary'!$J$36,0)</f>
        <v>0</v>
      </c>
      <c r="AJ59" s="168">
        <f>IF(AJ13='Phase II - Summary'!$D$21,'Phase II - Summary'!$J$37*'Phase II - Summary'!$J$36,0)</f>
        <v>0</v>
      </c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  <c r="EE59" s="170"/>
      <c r="EF59" s="170"/>
      <c r="EG59" s="170"/>
      <c r="EH59" s="170"/>
    </row>
    <row r="60" spans="2:138">
      <c r="B60" t="s">
        <v>427</v>
      </c>
      <c r="D60" s="19">
        <f t="shared" ref="D60:D61" ca="1" si="14">SUM(F60:R60)</f>
        <v>337412036.51111901</v>
      </c>
      <c r="F60" s="168">
        <f ca="1">MAX(-F55,0)</f>
        <v>0</v>
      </c>
      <c r="G60" s="168">
        <f t="shared" ref="G60:AJ60" ca="1" si="15">MAX(-G55,0)</f>
        <v>0</v>
      </c>
      <c r="H60" s="168">
        <f t="shared" ca="1" si="15"/>
        <v>0</v>
      </c>
      <c r="I60" s="168">
        <f t="shared" ca="1" si="15"/>
        <v>0</v>
      </c>
      <c r="J60" s="168">
        <f t="shared" ca="1" si="15"/>
        <v>0</v>
      </c>
      <c r="K60" s="168">
        <f t="shared" ca="1" si="15"/>
        <v>75833063.070658535</v>
      </c>
      <c r="L60" s="168">
        <f t="shared" ca="1" si="15"/>
        <v>130789486.7202301</v>
      </c>
      <c r="M60" s="168">
        <f t="shared" ca="1" si="15"/>
        <v>130789486.7202301</v>
      </c>
      <c r="N60" s="168">
        <f t="shared" ca="1" si="15"/>
        <v>0</v>
      </c>
      <c r="O60" s="168">
        <f t="shared" ca="1" si="15"/>
        <v>0</v>
      </c>
      <c r="P60" s="168">
        <f t="shared" ca="1" si="15"/>
        <v>0</v>
      </c>
      <c r="Q60" s="168">
        <f t="shared" ca="1" si="15"/>
        <v>0</v>
      </c>
      <c r="R60" s="168">
        <f t="shared" ca="1" si="15"/>
        <v>0</v>
      </c>
      <c r="S60" s="168">
        <f t="shared" ca="1" si="15"/>
        <v>0</v>
      </c>
      <c r="T60" s="168">
        <f t="shared" ca="1" si="15"/>
        <v>0</v>
      </c>
      <c r="U60" s="168">
        <f t="shared" ca="1" si="15"/>
        <v>0</v>
      </c>
      <c r="V60" s="168">
        <f t="shared" ca="1" si="15"/>
        <v>0</v>
      </c>
      <c r="W60" s="168">
        <f t="shared" ca="1" si="15"/>
        <v>0</v>
      </c>
      <c r="X60" s="168">
        <f t="shared" ca="1" si="15"/>
        <v>0</v>
      </c>
      <c r="Y60" s="168">
        <f t="shared" ca="1" si="15"/>
        <v>0</v>
      </c>
      <c r="Z60" s="168">
        <f t="shared" ca="1" si="15"/>
        <v>0</v>
      </c>
      <c r="AA60" s="168">
        <f t="shared" ca="1" si="15"/>
        <v>0</v>
      </c>
      <c r="AB60" s="168">
        <f t="shared" ca="1" si="15"/>
        <v>0</v>
      </c>
      <c r="AC60" s="168">
        <f t="shared" ca="1" si="15"/>
        <v>0</v>
      </c>
      <c r="AD60" s="168">
        <f t="shared" ca="1" si="15"/>
        <v>0</v>
      </c>
      <c r="AE60" s="168">
        <f t="shared" ca="1" si="15"/>
        <v>0</v>
      </c>
      <c r="AF60" s="168">
        <f t="shared" ca="1" si="15"/>
        <v>0</v>
      </c>
      <c r="AG60" s="168">
        <f t="shared" ca="1" si="15"/>
        <v>0</v>
      </c>
      <c r="AH60" s="168">
        <f t="shared" ca="1" si="15"/>
        <v>0</v>
      </c>
      <c r="AI60" s="168">
        <f t="shared" ca="1" si="15"/>
        <v>0</v>
      </c>
      <c r="AJ60" s="168">
        <f t="shared" ca="1" si="15"/>
        <v>0</v>
      </c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  <c r="EE60" s="170"/>
      <c r="EF60" s="170"/>
      <c r="EG60" s="170"/>
      <c r="EH60" s="170"/>
    </row>
    <row r="61" spans="2:138">
      <c r="B61" t="s">
        <v>428</v>
      </c>
      <c r="D61" s="19">
        <f t="shared" ca="1" si="14"/>
        <v>133382336.72955382</v>
      </c>
      <c r="F61" s="168">
        <f>F58*'Phase II - Summary'!$J$34</f>
        <v>0</v>
      </c>
      <c r="G61" s="168">
        <f ca="1">G58*'Phase II - Summary'!$J$34</f>
        <v>0</v>
      </c>
      <c r="H61" s="168">
        <f ca="1">H58*'Phase II - Summary'!$J$34</f>
        <v>0</v>
      </c>
      <c r="I61" s="168">
        <f ca="1">I58*'Phase II - Summary'!$J$34</f>
        <v>0</v>
      </c>
      <c r="J61" s="168">
        <f ca="1">J58*'Phase II - Summary'!$J$34</f>
        <v>0</v>
      </c>
      <c r="K61" s="168">
        <f ca="1">K58*'Phase II - Summary'!$J$34</f>
        <v>0</v>
      </c>
      <c r="L61" s="168">
        <f ca="1">L58*'Phase II - Summary'!$J$34</f>
        <v>5603568.1091920175</v>
      </c>
      <c r="M61" s="168">
        <f ca="1">M58*'Phase II - Summary'!$J$34</f>
        <v>15151081.947251566</v>
      </c>
      <c r="N61" s="168">
        <f ca="1">N58*'Phase II - Summary'!$J$34</f>
        <v>25366921.753975268</v>
      </c>
      <c r="O61" s="168">
        <f ca="1">O58*'Phase II - Summary'!$J$34</f>
        <v>27142606.276753537</v>
      </c>
      <c r="P61" s="168">
        <f ca="1">P58*'Phase II - Summary'!$J$34</f>
        <v>29042588.7161263</v>
      </c>
      <c r="Q61" s="168">
        <f ca="1">Q58*'Phase II - Summary'!$J$34</f>
        <v>31075569.926255144</v>
      </c>
      <c r="R61" s="168">
        <f ca="1">R58*'Phase II - Summary'!$J$34</f>
        <v>0</v>
      </c>
      <c r="S61" s="168">
        <f ca="1">S58*'Phase II - Summary'!$J$34</f>
        <v>0</v>
      </c>
      <c r="T61" s="168">
        <f ca="1">T58*'Phase II - Summary'!$J$34</f>
        <v>0</v>
      </c>
      <c r="U61" s="168">
        <f ca="1">U58*'Phase II - Summary'!$J$34</f>
        <v>0</v>
      </c>
      <c r="V61" s="168">
        <f ca="1">V58*'Phase II - Summary'!$J$34</f>
        <v>0</v>
      </c>
      <c r="W61" s="168">
        <f ca="1">W58*'Phase II - Summary'!$J$34</f>
        <v>0</v>
      </c>
      <c r="X61" s="168">
        <f ca="1">X58*'Phase II - Summary'!$J$34</f>
        <v>0</v>
      </c>
      <c r="Y61" s="168">
        <f ca="1">Y58*'Phase II - Summary'!$J$34</f>
        <v>0</v>
      </c>
      <c r="Z61" s="168">
        <f ca="1">Z58*'Phase II - Summary'!$J$34</f>
        <v>0</v>
      </c>
      <c r="AA61" s="168">
        <f ca="1">AA58*'Phase II - Summary'!$J$34</f>
        <v>0</v>
      </c>
      <c r="AB61" s="168">
        <f ca="1">AB58*'Phase II - Summary'!$J$34</f>
        <v>0</v>
      </c>
      <c r="AC61" s="168">
        <f ca="1">AC58*'Phase II - Summary'!$J$34</f>
        <v>0</v>
      </c>
      <c r="AD61" s="168">
        <f ca="1">AD58*'Phase II - Summary'!$J$34</f>
        <v>0</v>
      </c>
      <c r="AE61" s="168">
        <f ca="1">AE58*'Phase II - Summary'!$J$34</f>
        <v>0</v>
      </c>
      <c r="AF61" s="168">
        <f ca="1">AF58*'Phase II - Summary'!$J$34</f>
        <v>0</v>
      </c>
      <c r="AG61" s="168">
        <f ca="1">AG58*'Phase II - Summary'!$J$34</f>
        <v>0</v>
      </c>
      <c r="AH61" s="168">
        <f ca="1">AH58*'Phase II - Summary'!$J$34</f>
        <v>0</v>
      </c>
      <c r="AI61" s="168">
        <f ca="1">AI58*'Phase II - Summary'!$J$34</f>
        <v>0</v>
      </c>
      <c r="AJ61" s="168">
        <f ca="1">AJ58*'Phase II - Summary'!$J$34</f>
        <v>0</v>
      </c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  <c r="EE61" s="170"/>
      <c r="EF61" s="170"/>
      <c r="EG61" s="170"/>
      <c r="EH61" s="170"/>
    </row>
    <row r="62" spans="2:138">
      <c r="B62" t="s">
        <v>429</v>
      </c>
      <c r="D62" s="3"/>
      <c r="F62" s="168">
        <f>IF(F13='Phase II - Summary'!$D$27,'Phase II - Pro Forma'!F61+'Phase II - Pro Forma'!F58,0)</f>
        <v>0</v>
      </c>
      <c r="G62" s="168">
        <f>IF(G13='Phase II - Summary'!$D$27,'Phase II - Pro Forma'!G61+'Phase II - Pro Forma'!G58,0)</f>
        <v>0</v>
      </c>
      <c r="H62" s="168">
        <f>IF(H13='Phase II - Summary'!$D$27,'Phase II - Pro Forma'!H61+'Phase II - Pro Forma'!H58,0)</f>
        <v>0</v>
      </c>
      <c r="I62" s="168">
        <f>IF(I13='Phase II - Summary'!$D$27,'Phase II - Pro Forma'!I61+'Phase II - Pro Forma'!I58,0)</f>
        <v>0</v>
      </c>
      <c r="J62" s="168">
        <f>IF(J13='Phase II - Summary'!$D$27,'Phase II - Pro Forma'!J61+'Phase II - Pro Forma'!J58,0)</f>
        <v>0</v>
      </c>
      <c r="K62" s="168">
        <f>IF(K13='Phase II - Summary'!$D$27,'Phase II - Pro Forma'!K61+'Phase II - Pro Forma'!K58,0)</f>
        <v>0</v>
      </c>
      <c r="L62" s="168">
        <f>IF(L13='Phase II - Summary'!$D$27,'Phase II - Pro Forma'!L61+'Phase II - Pro Forma'!L58,0)</f>
        <v>0</v>
      </c>
      <c r="M62" s="168">
        <f>IF(M13='Phase II - Summary'!$D$27,'Phase II - Pro Forma'!M61+'Phase II - Pro Forma'!M58,0)</f>
        <v>0</v>
      </c>
      <c r="N62" s="168">
        <f>IF(N13='Phase II - Summary'!$D$27,'Phase II - Pro Forma'!N61+'Phase II - Pro Forma'!N58,0)</f>
        <v>0</v>
      </c>
      <c r="O62" s="168">
        <f>IF(O13='Phase II - Summary'!$D$27,'Phase II - Pro Forma'!O61+'Phase II - Pro Forma'!O58,0)</f>
        <v>0</v>
      </c>
      <c r="P62" s="168">
        <f>IF(P13='Phase II - Summary'!$D$27,'Phase II - Pro Forma'!P61+'Phase II - Pro Forma'!P58,0)</f>
        <v>0</v>
      </c>
      <c r="Q62" s="168">
        <f ca="1">IF(Q13='Phase II - Summary'!$D$27,'Phase II - Pro Forma'!Q61+'Phase II - Pro Forma'!Q58,0)</f>
        <v>475012283.15847147</v>
      </c>
      <c r="R62" s="168">
        <f>IF(R13='Phase II - Summary'!$D$27,'Phase II - Pro Forma'!R61+'Phase II - Pro Forma'!R58,0)</f>
        <v>0</v>
      </c>
      <c r="S62" s="168">
        <f>IF(S13='Phase II - Summary'!$D$27,'Phase II - Pro Forma'!S61+'Phase II - Pro Forma'!S58,0)</f>
        <v>0</v>
      </c>
      <c r="T62" s="168">
        <f>IF(T13='Phase II - Summary'!$D$27,'Phase II - Pro Forma'!T61+'Phase II - Pro Forma'!T58,0)</f>
        <v>0</v>
      </c>
      <c r="U62" s="168">
        <f>IF(U13='Phase II - Summary'!$D$27,'Phase II - Pro Forma'!U61+'Phase II - Pro Forma'!U58,0)</f>
        <v>0</v>
      </c>
      <c r="V62" s="168">
        <f>IF(V13='Phase II - Summary'!$D$27,'Phase II - Pro Forma'!V61+'Phase II - Pro Forma'!V58,0)</f>
        <v>0</v>
      </c>
      <c r="W62" s="168">
        <f>IF(W13='Phase II - Summary'!$D$27,'Phase II - Pro Forma'!W61+'Phase II - Pro Forma'!W58,0)</f>
        <v>0</v>
      </c>
      <c r="X62" s="168">
        <f>IF(X13='Phase II - Summary'!$D$27,'Phase II - Pro Forma'!X61+'Phase II - Pro Forma'!X58,0)</f>
        <v>0</v>
      </c>
      <c r="Y62" s="168">
        <f>IF(Y13='Phase II - Summary'!$D$27,'Phase II - Pro Forma'!Y61+'Phase II - Pro Forma'!Y58,0)</f>
        <v>0</v>
      </c>
      <c r="Z62" s="168">
        <f>IF(Z13='Phase II - Summary'!$D$27,'Phase II - Pro Forma'!Z61+'Phase II - Pro Forma'!Z58,0)</f>
        <v>0</v>
      </c>
      <c r="AA62" s="168">
        <f>IF(AA13='Phase II - Summary'!$D$27,'Phase II - Pro Forma'!AA61+'Phase II - Pro Forma'!AA58,0)</f>
        <v>0</v>
      </c>
      <c r="AB62" s="168">
        <f>IF(AB13='Phase II - Summary'!$D$27,'Phase II - Pro Forma'!AB61+'Phase II - Pro Forma'!AB58,0)</f>
        <v>0</v>
      </c>
      <c r="AC62" s="168">
        <f>IF(AC13='Phase II - Summary'!$D$27,'Phase II - Pro Forma'!AC61+'Phase II - Pro Forma'!AC58,0)</f>
        <v>0</v>
      </c>
      <c r="AD62" s="168">
        <f>IF(AD13='Phase II - Summary'!$D$27,'Phase II - Pro Forma'!AD61+'Phase II - Pro Forma'!AD58,0)</f>
        <v>0</v>
      </c>
      <c r="AE62" s="168">
        <f>IF(AE13='Phase II - Summary'!$D$27,'Phase II - Pro Forma'!AE61+'Phase II - Pro Forma'!AE58,0)</f>
        <v>0</v>
      </c>
      <c r="AF62" s="168">
        <f>IF(AF13='Phase II - Summary'!$D$27,'Phase II - Pro Forma'!AF61+'Phase II - Pro Forma'!AF58,0)</f>
        <v>0</v>
      </c>
      <c r="AG62" s="168">
        <f>IF(AG13='Phase II - Summary'!$D$27,'Phase II - Pro Forma'!AG61+'Phase II - Pro Forma'!AG58,0)</f>
        <v>0</v>
      </c>
      <c r="AH62" s="168">
        <f>IF(AH13='Phase II - Summary'!$D$27,'Phase II - Pro Forma'!AH61+'Phase II - Pro Forma'!AH58,0)</f>
        <v>0</v>
      </c>
      <c r="AI62" s="168">
        <f>IF(AI13='Phase II - Summary'!$D$27,'Phase II - Pro Forma'!AI61+'Phase II - Pro Forma'!AI58,0)</f>
        <v>0</v>
      </c>
      <c r="AJ62" s="168">
        <f>IF(AJ13='Phase II - Summary'!$D$27,'Phase II - Pro Forma'!AJ61+'Phase II - Pro Forma'!AJ58,0)</f>
        <v>0</v>
      </c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  <c r="DK62" s="170"/>
      <c r="DL62" s="170"/>
      <c r="DM62" s="170"/>
      <c r="DN62" s="170"/>
      <c r="DO62" s="170"/>
      <c r="DP62" s="170"/>
      <c r="DQ62" s="170"/>
      <c r="DR62" s="170"/>
      <c r="DS62" s="170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  <c r="EE62" s="170"/>
      <c r="EF62" s="170"/>
      <c r="EG62" s="170"/>
      <c r="EH62" s="170"/>
    </row>
    <row r="63" spans="2:138">
      <c r="B63" t="s">
        <v>430</v>
      </c>
      <c r="D63" s="3"/>
      <c r="F63" s="168">
        <f ca="1">F58+F59+F60+F61-F62</f>
        <v>0</v>
      </c>
      <c r="G63" s="168">
        <f t="shared" ref="G63:AJ63" ca="1" si="16">G58+G59+G60+G61-G62</f>
        <v>0</v>
      </c>
      <c r="H63" s="168">
        <f t="shared" ca="1" si="16"/>
        <v>0</v>
      </c>
      <c r="I63" s="168">
        <f t="shared" ca="1" si="16"/>
        <v>0</v>
      </c>
      <c r="J63" s="168">
        <f t="shared" ca="1" si="16"/>
        <v>0</v>
      </c>
      <c r="K63" s="168">
        <f t="shared" ca="1" si="16"/>
        <v>80050972.988457143</v>
      </c>
      <c r="L63" s="168">
        <f t="shared" ca="1" si="16"/>
        <v>216444027.8178795</v>
      </c>
      <c r="M63" s="168">
        <f t="shared" ca="1" si="16"/>
        <v>362384596.48536116</v>
      </c>
      <c r="N63" s="168">
        <f t="shared" ca="1" si="16"/>
        <v>387751518.23933619</v>
      </c>
      <c r="O63" s="168">
        <f t="shared" ca="1" si="16"/>
        <v>414894124.51608974</v>
      </c>
      <c r="P63" s="168">
        <f t="shared" ca="1" si="16"/>
        <v>443936713.2322163</v>
      </c>
      <c r="Q63" s="168">
        <f t="shared" ca="1" si="16"/>
        <v>0</v>
      </c>
      <c r="R63" s="168">
        <f t="shared" ca="1" si="16"/>
        <v>0</v>
      </c>
      <c r="S63" s="168">
        <f t="shared" ca="1" si="16"/>
        <v>0</v>
      </c>
      <c r="T63" s="168">
        <f t="shared" ca="1" si="16"/>
        <v>0</v>
      </c>
      <c r="U63" s="168">
        <f t="shared" ca="1" si="16"/>
        <v>0</v>
      </c>
      <c r="V63" s="168">
        <f t="shared" ca="1" si="16"/>
        <v>0</v>
      </c>
      <c r="W63" s="168">
        <f t="shared" ca="1" si="16"/>
        <v>0</v>
      </c>
      <c r="X63" s="168">
        <f t="shared" ca="1" si="16"/>
        <v>0</v>
      </c>
      <c r="Y63" s="168">
        <f t="shared" ca="1" si="16"/>
        <v>0</v>
      </c>
      <c r="Z63" s="168">
        <f t="shared" ca="1" si="16"/>
        <v>0</v>
      </c>
      <c r="AA63" s="168">
        <f t="shared" ca="1" si="16"/>
        <v>0</v>
      </c>
      <c r="AB63" s="168">
        <f t="shared" ca="1" si="16"/>
        <v>0</v>
      </c>
      <c r="AC63" s="168">
        <f t="shared" ca="1" si="16"/>
        <v>0</v>
      </c>
      <c r="AD63" s="168">
        <f t="shared" ca="1" si="16"/>
        <v>0</v>
      </c>
      <c r="AE63" s="168">
        <f t="shared" ca="1" si="16"/>
        <v>0</v>
      </c>
      <c r="AF63" s="168">
        <f t="shared" ca="1" si="16"/>
        <v>0</v>
      </c>
      <c r="AG63" s="168">
        <f t="shared" ca="1" si="16"/>
        <v>0</v>
      </c>
      <c r="AH63" s="168">
        <f t="shared" ca="1" si="16"/>
        <v>0</v>
      </c>
      <c r="AI63" s="168">
        <f t="shared" ca="1" si="16"/>
        <v>0</v>
      </c>
      <c r="AJ63" s="168">
        <f t="shared" ca="1" si="16"/>
        <v>0</v>
      </c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  <c r="CR63" s="170"/>
      <c r="CS63" s="170"/>
      <c r="CT63" s="170"/>
      <c r="CU63" s="170"/>
      <c r="CV63" s="170"/>
      <c r="CW63" s="170"/>
      <c r="CX63" s="170"/>
      <c r="CY63" s="170"/>
      <c r="CZ63" s="170"/>
      <c r="DA63" s="170"/>
      <c r="DB63" s="170"/>
      <c r="DC63" s="170"/>
      <c r="DD63" s="170"/>
      <c r="DE63" s="170"/>
      <c r="DF63" s="170"/>
      <c r="DG63" s="170"/>
      <c r="DH63" s="170"/>
      <c r="DI63" s="170"/>
      <c r="DJ63" s="170"/>
      <c r="DK63" s="170"/>
      <c r="DL63" s="170"/>
      <c r="DM63" s="170"/>
      <c r="DN63" s="170"/>
      <c r="DO63" s="170"/>
      <c r="DP63" s="170"/>
      <c r="DQ63" s="170"/>
      <c r="DR63" s="170"/>
      <c r="DS63" s="170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  <c r="EE63" s="170"/>
      <c r="EF63" s="170"/>
      <c r="EG63" s="170"/>
      <c r="EH63" s="170"/>
    </row>
    <row r="64" spans="2:138">
      <c r="D64" s="3"/>
    </row>
    <row r="65" spans="2:138">
      <c r="B65" t="s">
        <v>431</v>
      </c>
      <c r="D65" s="3"/>
      <c r="F65" s="6">
        <f ca="1">F55+F60-F62</f>
        <v>0</v>
      </c>
      <c r="G65" s="6">
        <f t="shared" ref="G65:AJ65" ca="1" si="17">G55+G60-G62</f>
        <v>0</v>
      </c>
      <c r="H65" s="6">
        <f t="shared" ca="1" si="17"/>
        <v>0</v>
      </c>
      <c r="I65" s="6">
        <f t="shared" ca="1" si="17"/>
        <v>0</v>
      </c>
      <c r="J65" s="6">
        <f t="shared" ca="1" si="17"/>
        <v>0</v>
      </c>
      <c r="K65" s="6">
        <f t="shared" ca="1" si="17"/>
        <v>0</v>
      </c>
      <c r="L65" s="6">
        <f t="shared" ca="1" si="17"/>
        <v>0</v>
      </c>
      <c r="M65" s="6">
        <f t="shared" ca="1" si="17"/>
        <v>0</v>
      </c>
      <c r="N65" s="6">
        <f t="shared" ca="1" si="17"/>
        <v>35706114.957173079</v>
      </c>
      <c r="O65" s="6">
        <f t="shared" ca="1" si="17"/>
        <v>36921928.641335987</v>
      </c>
      <c r="P65" s="6">
        <f t="shared" ca="1" si="17"/>
        <v>38171892.582067966</v>
      </c>
      <c r="Q65" s="6">
        <f t="shared" ca="1" si="17"/>
        <v>298444942.93946409</v>
      </c>
      <c r="R65" s="6">
        <f t="shared" ca="1" si="17"/>
        <v>40777796.805346087</v>
      </c>
      <c r="S65" s="6">
        <f t="shared" ca="1" si="17"/>
        <v>42135545.71456217</v>
      </c>
      <c r="T65" s="6">
        <f t="shared" ca="1" si="17"/>
        <v>43531062.384060085</v>
      </c>
      <c r="U65" s="6">
        <f t="shared" ca="1" si="17"/>
        <v>44965297.499686636</v>
      </c>
      <c r="V65" s="6">
        <f t="shared" ca="1" si="17"/>
        <v>46439220.456117891</v>
      </c>
      <c r="W65" s="6">
        <f t="shared" ca="1" si="17"/>
        <v>47953819.412441209</v>
      </c>
      <c r="X65" s="6">
        <f t="shared" ca="1" si="17"/>
        <v>49510101.323733687</v>
      </c>
      <c r="Y65" s="6">
        <f t="shared" ca="1" si="17"/>
        <v>51109091.946620166</v>
      </c>
      <c r="Z65" s="6">
        <f t="shared" ca="1" si="17"/>
        <v>52751835.816668674</v>
      </c>
      <c r="AA65" s="6">
        <f t="shared" ca="1" si="17"/>
        <v>54439396.19534716</v>
      </c>
      <c r="AB65" s="6">
        <f t="shared" ca="1" si="17"/>
        <v>56172854.9841263</v>
      </c>
      <c r="AC65" s="6">
        <f t="shared" ca="1" si="17"/>
        <v>57953312.603163272</v>
      </c>
      <c r="AD65" s="6">
        <f t="shared" ca="1" si="17"/>
        <v>59781887.831846684</v>
      </c>
      <c r="AE65" s="6">
        <f t="shared" ca="1" si="17"/>
        <v>61659717.608315706</v>
      </c>
      <c r="AF65" s="6">
        <f t="shared" ca="1" si="17"/>
        <v>63587956.784893684</v>
      </c>
      <c r="AG65" s="6">
        <f t="shared" ca="1" si="17"/>
        <v>65567777.836191252</v>
      </c>
      <c r="AH65" s="6">
        <f t="shared" ca="1" si="17"/>
        <v>67600370.516440213</v>
      </c>
      <c r="AI65" s="6">
        <f t="shared" ca="1" si="17"/>
        <v>69686941.462414354</v>
      </c>
      <c r="AJ65" s="6">
        <f t="shared" ca="1" si="17"/>
        <v>71828713.738077268</v>
      </c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  <c r="CR65" s="170"/>
      <c r="CS65" s="170"/>
      <c r="CT65" s="170"/>
      <c r="CU65" s="170"/>
      <c r="CV65" s="170"/>
      <c r="CW65" s="170"/>
      <c r="CX65" s="170"/>
      <c r="CY65" s="170"/>
      <c r="CZ65" s="170"/>
      <c r="DA65" s="170"/>
      <c r="DB65" s="170"/>
      <c r="DC65" s="170"/>
      <c r="DD65" s="170"/>
      <c r="DE65" s="170"/>
      <c r="DF65" s="170"/>
      <c r="DG65" s="170"/>
      <c r="DH65" s="170"/>
      <c r="DI65" s="170"/>
      <c r="DJ65" s="170"/>
      <c r="DK65" s="170"/>
      <c r="DL65" s="170"/>
      <c r="DM65" s="170"/>
      <c r="DN65" s="170"/>
      <c r="DO65" s="170"/>
      <c r="DP65" s="170"/>
      <c r="DQ65" s="170"/>
      <c r="DR65" s="170"/>
      <c r="DS65" s="170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  <c r="EE65" s="170"/>
      <c r="EF65" s="170"/>
      <c r="EG65" s="170"/>
      <c r="EH65" s="170"/>
    </row>
    <row r="66" spans="2:138">
      <c r="D66" s="3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0"/>
      <c r="DF66" s="170"/>
      <c r="DG66" s="170"/>
      <c r="DH66" s="170"/>
      <c r="DI66" s="170"/>
      <c r="DJ66" s="170"/>
      <c r="DK66" s="170"/>
      <c r="DL66" s="170"/>
      <c r="DM66" s="170"/>
      <c r="DN66" s="170"/>
      <c r="DO66" s="170"/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  <c r="EE66" s="170"/>
      <c r="EF66" s="170"/>
      <c r="EG66" s="170"/>
      <c r="EH66" s="170"/>
    </row>
    <row r="67" spans="2:138" ht="14.4">
      <c r="B67" s="9" t="s">
        <v>432</v>
      </c>
      <c r="D67" s="3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0"/>
      <c r="DF67" s="170"/>
      <c r="DG67" s="170"/>
      <c r="DH67" s="170"/>
      <c r="DI67" s="170"/>
      <c r="DJ67" s="170"/>
      <c r="DK67" s="170"/>
      <c r="DL67" s="170"/>
      <c r="DM67" s="170"/>
      <c r="DN67" s="170"/>
      <c r="DO67" s="170"/>
      <c r="DP67" s="170"/>
      <c r="DQ67" s="170"/>
      <c r="DR67" s="170"/>
      <c r="DS67" s="170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  <c r="EE67" s="170"/>
      <c r="EF67" s="170"/>
      <c r="EG67" s="170"/>
      <c r="EH67" s="170"/>
    </row>
    <row r="68" spans="2:138">
      <c r="B68" t="s">
        <v>425</v>
      </c>
      <c r="D68" s="3"/>
      <c r="F68" s="6">
        <f>E73</f>
        <v>0</v>
      </c>
      <c r="G68" s="6">
        <f t="shared" ref="G68:AJ68" si="18">F73</f>
        <v>0</v>
      </c>
      <c r="H68" s="6">
        <f t="shared" si="18"/>
        <v>0</v>
      </c>
      <c r="I68" s="6">
        <f t="shared" si="18"/>
        <v>0</v>
      </c>
      <c r="J68" s="6">
        <f t="shared" si="18"/>
        <v>0</v>
      </c>
      <c r="K68" s="6">
        <f t="shared" si="18"/>
        <v>0</v>
      </c>
      <c r="L68" s="6">
        <f t="shared" si="18"/>
        <v>0</v>
      </c>
      <c r="M68" s="6">
        <f t="shared" si="18"/>
        <v>0</v>
      </c>
      <c r="N68" s="6">
        <f t="shared" si="18"/>
        <v>0</v>
      </c>
      <c r="O68" s="6">
        <f t="shared" si="18"/>
        <v>0</v>
      </c>
      <c r="P68" s="6">
        <f t="shared" si="18"/>
        <v>0</v>
      </c>
      <c r="Q68" s="6">
        <f t="shared" si="18"/>
        <v>0</v>
      </c>
      <c r="R68" s="6">
        <f t="shared" ca="1" si="18"/>
        <v>613773744.9154278</v>
      </c>
      <c r="S68" s="6">
        <f t="shared" ca="1" si="18"/>
        <v>613773744.9154278</v>
      </c>
      <c r="T68" s="6">
        <f t="shared" ca="1" si="18"/>
        <v>613773744.9154278</v>
      </c>
      <c r="U68" s="6">
        <f t="shared" ca="1" si="18"/>
        <v>613773744.9154278</v>
      </c>
      <c r="V68" s="6">
        <f t="shared" ca="1" si="18"/>
        <v>613773744.9154278</v>
      </c>
      <c r="W68" s="6">
        <f t="shared" ca="1" si="18"/>
        <v>613773744.9154278</v>
      </c>
      <c r="X68" s="6">
        <f t="shared" ca="1" si="18"/>
        <v>613773744.9154278</v>
      </c>
      <c r="Y68" s="6">
        <f t="shared" ca="1" si="18"/>
        <v>613773744.9154278</v>
      </c>
      <c r="Z68" s="6">
        <f t="shared" ca="1" si="18"/>
        <v>613773744.9154278</v>
      </c>
      <c r="AA68" s="6">
        <f t="shared" ca="1" si="18"/>
        <v>613773744.9154278</v>
      </c>
      <c r="AB68" s="6">
        <f t="shared" ca="1" si="18"/>
        <v>0</v>
      </c>
      <c r="AC68" s="6">
        <f t="shared" ca="1" si="18"/>
        <v>0</v>
      </c>
      <c r="AD68" s="6">
        <f t="shared" ca="1" si="18"/>
        <v>0</v>
      </c>
      <c r="AE68" s="6">
        <f t="shared" ca="1" si="18"/>
        <v>0</v>
      </c>
      <c r="AF68" s="6">
        <f t="shared" ca="1" si="18"/>
        <v>0</v>
      </c>
      <c r="AG68" s="6">
        <f t="shared" ca="1" si="18"/>
        <v>0</v>
      </c>
      <c r="AH68" s="6">
        <f t="shared" ca="1" si="18"/>
        <v>0</v>
      </c>
      <c r="AI68" s="6">
        <f t="shared" ca="1" si="18"/>
        <v>0</v>
      </c>
      <c r="AJ68" s="6">
        <f t="shared" ca="1" si="18"/>
        <v>0</v>
      </c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  <c r="CR68" s="170"/>
      <c r="CS68" s="170"/>
      <c r="CT68" s="170"/>
      <c r="CU68" s="170"/>
      <c r="CV68" s="170"/>
      <c r="CW68" s="170"/>
      <c r="CX68" s="170"/>
      <c r="CY68" s="170"/>
      <c r="CZ68" s="170"/>
      <c r="DA68" s="170"/>
      <c r="DB68" s="170"/>
      <c r="DC68" s="170"/>
      <c r="DD68" s="170"/>
      <c r="DE68" s="170"/>
      <c r="DF68" s="170"/>
      <c r="DG68" s="170"/>
      <c r="DH68" s="170"/>
      <c r="DI68" s="170"/>
      <c r="DJ68" s="170"/>
      <c r="DK68" s="170"/>
      <c r="DL68" s="170"/>
      <c r="DM68" s="170"/>
      <c r="DN68" s="170"/>
      <c r="DO68" s="170"/>
      <c r="DP68" s="170"/>
      <c r="DQ68" s="170"/>
      <c r="DR68" s="170"/>
      <c r="DS68" s="170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  <c r="EE68" s="170"/>
      <c r="EF68" s="170"/>
      <c r="EG68" s="170"/>
      <c r="EH68" s="170"/>
    </row>
    <row r="69" spans="2:138">
      <c r="B69" t="s">
        <v>426</v>
      </c>
      <c r="D69" s="3"/>
      <c r="F69" s="6">
        <f>IF(F13='Phase II - Summary'!$D$27,'Phase II - Summary'!$J$50*'Phase II - Summary'!$J$49,0)</f>
        <v>0</v>
      </c>
      <c r="G69" s="6">
        <f>IF(G13='Phase II - Summary'!$D$27,'Phase II - Summary'!$J$50*'Phase II - Summary'!$J$49,0)</f>
        <v>0</v>
      </c>
      <c r="H69" s="6">
        <f>IF(H13='Phase II - Summary'!$D$27,'Phase II - Summary'!$J$50*'Phase II - Summary'!$J$49,0)</f>
        <v>0</v>
      </c>
      <c r="I69" s="6">
        <f>IF(I13='Phase II - Summary'!$D$27,'Phase II - Summary'!$J$50*'Phase II - Summary'!$J$49,0)</f>
        <v>0</v>
      </c>
      <c r="J69" s="6">
        <f>IF(J13='Phase II - Summary'!$D$27,'Phase II - Summary'!$J$50*'Phase II - Summary'!$J$49,0)</f>
        <v>0</v>
      </c>
      <c r="K69" s="6">
        <f>IF(K13='Phase II - Summary'!$D$27,'Phase II - Summary'!$J$50*'Phase II - Summary'!$J$49,0)</f>
        <v>0</v>
      </c>
      <c r="L69" s="6">
        <f>IF(L13='Phase II - Summary'!$D$27,'Phase II - Summary'!$J$50*'Phase II - Summary'!$J$49,0)</f>
        <v>0</v>
      </c>
      <c r="M69" s="6">
        <f>IF(M13='Phase II - Summary'!$D$27,'Phase II - Summary'!$J$50*'Phase II - Summary'!$J$49,0)</f>
        <v>0</v>
      </c>
      <c r="N69" s="6">
        <f>IF(N13='Phase II - Summary'!$D$27,'Phase II - Summary'!$J$50*'Phase II - Summary'!$J$49,0)</f>
        <v>0</v>
      </c>
      <c r="O69" s="6">
        <f>IF(O13='Phase II - Summary'!$D$27,'Phase II - Summary'!$J$50*'Phase II - Summary'!$J$49,0)</f>
        <v>0</v>
      </c>
      <c r="P69" s="6">
        <f>IF(P13='Phase II - Summary'!$D$27,'Phase II - Summary'!$J$50*'Phase II - Summary'!$J$49,0)</f>
        <v>0</v>
      </c>
      <c r="Q69" s="6">
        <f ca="1">IF(Q13='Phase II - Summary'!$D$27,'Phase II - Summary'!$J$50*'Phase II - Summary'!$J$49,0)</f>
        <v>6137737.4491542783</v>
      </c>
      <c r="R69" s="6">
        <f>IF(R13='Phase II - Summary'!$D$27,'Phase II - Summary'!$J$50*'Phase II - Summary'!$J$49,0)</f>
        <v>0</v>
      </c>
      <c r="S69" s="6">
        <f>IF(S13='Phase II - Summary'!$D$27,'Phase II - Summary'!$J$50*'Phase II - Summary'!$J$49,0)</f>
        <v>0</v>
      </c>
      <c r="T69" s="6">
        <f>IF(T13='Phase II - Summary'!$D$27,'Phase II - Summary'!$J$50*'Phase II - Summary'!$J$49,0)</f>
        <v>0</v>
      </c>
      <c r="U69" s="6">
        <f>IF(U13='Phase II - Summary'!$D$27,'Phase II - Summary'!$J$50*'Phase II - Summary'!$J$49,0)</f>
        <v>0</v>
      </c>
      <c r="V69" s="6">
        <f>IF(V13='Phase II - Summary'!$D$27,'Phase II - Summary'!$J$50*'Phase II - Summary'!$J$49,0)</f>
        <v>0</v>
      </c>
      <c r="W69" s="6">
        <f>IF(W13='Phase II - Summary'!$D$27,'Phase II - Summary'!$J$50*'Phase II - Summary'!$J$49,0)</f>
        <v>0</v>
      </c>
      <c r="X69" s="6">
        <f>IF(X13='Phase II - Summary'!$D$27,'Phase II - Summary'!$J$50*'Phase II - Summary'!$J$49,0)</f>
        <v>0</v>
      </c>
      <c r="Y69" s="6">
        <f>IF(Y13='Phase II - Summary'!$D$27,'Phase II - Summary'!$J$50*'Phase II - Summary'!$J$49,0)</f>
        <v>0</v>
      </c>
      <c r="Z69" s="6">
        <f>IF(Z13='Phase II - Summary'!$D$27,'Phase II - Summary'!$J$50*'Phase II - Summary'!$J$49,0)</f>
        <v>0</v>
      </c>
      <c r="AA69" s="6">
        <f>IF(AA13='Phase II - Summary'!$D$27,'Phase II - Summary'!$J$50*'Phase II - Summary'!$J$49,0)</f>
        <v>0</v>
      </c>
      <c r="AB69" s="6">
        <f>IF(AB13='Phase II - Summary'!$D$27,'Phase II - Summary'!$J$50*'Phase II - Summary'!$J$49,0)</f>
        <v>0</v>
      </c>
      <c r="AC69" s="6">
        <f>IF(AC13='Phase II - Summary'!$D$27,'Phase II - Summary'!$J$50*'Phase II - Summary'!$J$49,0)</f>
        <v>0</v>
      </c>
      <c r="AD69" s="6">
        <f>IF(AD13='Phase II - Summary'!$D$27,'Phase II - Summary'!$J$50*'Phase II - Summary'!$J$49,0)</f>
        <v>0</v>
      </c>
      <c r="AE69" s="6">
        <f>IF(AE13='Phase II - Summary'!$D$27,'Phase II - Summary'!$J$50*'Phase II - Summary'!$J$49,0)</f>
        <v>0</v>
      </c>
      <c r="AF69" s="6">
        <f>IF(AF13='Phase II - Summary'!$D$27,'Phase II - Summary'!$J$50*'Phase II - Summary'!$J$49,0)</f>
        <v>0</v>
      </c>
      <c r="AG69" s="6">
        <f>IF(AG13='Phase II - Summary'!$D$27,'Phase II - Summary'!$J$50*'Phase II - Summary'!$J$49,0)</f>
        <v>0</v>
      </c>
      <c r="AH69" s="6">
        <f>IF(AH13='Phase II - Summary'!$D$27,'Phase II - Summary'!$J$50*'Phase II - Summary'!$J$49,0)</f>
        <v>0</v>
      </c>
      <c r="AI69" s="6">
        <f>IF(AI13='Phase II - Summary'!$D$27,'Phase II - Summary'!$J$50*'Phase II - Summary'!$J$49,0)</f>
        <v>0</v>
      </c>
      <c r="AJ69" s="6">
        <f>IF(AJ13='Phase II - Summary'!$D$27,'Phase II - Summary'!$J$50*'Phase II - Summary'!$J$49,0)</f>
        <v>0</v>
      </c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  <c r="DK69" s="170"/>
      <c r="DL69" s="170"/>
      <c r="DM69" s="170"/>
      <c r="DN69" s="170"/>
      <c r="DO69" s="170"/>
      <c r="DP69" s="170"/>
      <c r="DQ69" s="170"/>
      <c r="DR69" s="170"/>
      <c r="DS69" s="170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  <c r="EE69" s="170"/>
      <c r="EF69" s="170"/>
      <c r="EG69" s="170"/>
      <c r="EH69" s="170"/>
    </row>
    <row r="70" spans="2:138">
      <c r="B70" t="s">
        <v>427</v>
      </c>
      <c r="D70" s="3"/>
      <c r="F70" s="6">
        <f>IF(F13='Phase II - Summary'!$J$45,'Phase II - Summary'!$J$49,0)</f>
        <v>0</v>
      </c>
      <c r="G70" s="6">
        <f>IF(G13='Phase II - Summary'!$J$45,'Phase II - Summary'!$J$49,0)</f>
        <v>0</v>
      </c>
      <c r="H70" s="6">
        <f>IF(H13='Phase II - Summary'!$J$45,'Phase II - Summary'!$J$49,0)</f>
        <v>0</v>
      </c>
      <c r="I70" s="6">
        <f>IF(I13='Phase II - Summary'!$J$45,'Phase II - Summary'!$J$49,0)</f>
        <v>0</v>
      </c>
      <c r="J70" s="6">
        <f>IF(J13='Phase II - Summary'!$J$45,'Phase II - Summary'!$J$49,0)</f>
        <v>0</v>
      </c>
      <c r="K70" s="6">
        <f>IF(K13='Phase II - Summary'!$J$45,'Phase II - Summary'!$J$49,0)</f>
        <v>0</v>
      </c>
      <c r="L70" s="6">
        <f>IF(L13='Phase II - Summary'!$J$45,'Phase II - Summary'!$J$49,0)</f>
        <v>0</v>
      </c>
      <c r="M70" s="6">
        <f>IF(M13='Phase II - Summary'!$J$45,'Phase II - Summary'!$J$49,0)</f>
        <v>0</v>
      </c>
      <c r="N70" s="6">
        <f>IF(N13='Phase II - Summary'!$J$45,'Phase II - Summary'!$J$49,0)</f>
        <v>0</v>
      </c>
      <c r="O70" s="6">
        <f>IF(O13='Phase II - Summary'!$J$45,'Phase II - Summary'!$J$49,0)</f>
        <v>0</v>
      </c>
      <c r="P70" s="6">
        <f>IF(P13='Phase II - Summary'!$J$45,'Phase II - Summary'!$J$49,0)</f>
        <v>0</v>
      </c>
      <c r="Q70" s="6">
        <f ca="1">IF(Q13='Phase II - Summary'!$J$45,'Phase II - Summary'!$J$49,0)</f>
        <v>613773744.9154278</v>
      </c>
      <c r="R70" s="6">
        <f>IF(R13='Phase II - Summary'!$J$45,'Phase II - Summary'!$J$49,0)</f>
        <v>0</v>
      </c>
      <c r="S70" s="6">
        <f>IF(S13='Phase II - Summary'!$J$45,'Phase II - Summary'!$J$49,0)</f>
        <v>0</v>
      </c>
      <c r="T70" s="6">
        <f>IF(T13='Phase II - Summary'!$J$45,'Phase II - Summary'!$J$49,0)</f>
        <v>0</v>
      </c>
      <c r="U70" s="6">
        <f>IF(U13='Phase II - Summary'!$J$45,'Phase II - Summary'!$J$49,0)</f>
        <v>0</v>
      </c>
      <c r="V70" s="6">
        <f>IF(V13='Phase II - Summary'!$J$45,'Phase II - Summary'!$J$49,0)</f>
        <v>0</v>
      </c>
      <c r="W70" s="6">
        <f>IF(W13='Phase II - Summary'!$J$45,'Phase II - Summary'!$J$49,0)</f>
        <v>0</v>
      </c>
      <c r="X70" s="6">
        <f>IF(X13='Phase II - Summary'!$J$45,'Phase II - Summary'!$J$49,0)</f>
        <v>0</v>
      </c>
      <c r="Y70" s="6">
        <f>IF(Y13='Phase II - Summary'!$J$45,'Phase II - Summary'!$J$49,0)</f>
        <v>0</v>
      </c>
      <c r="Z70" s="6">
        <f>IF(Z13='Phase II - Summary'!$J$45,'Phase II - Summary'!$J$49,0)</f>
        <v>0</v>
      </c>
      <c r="AA70" s="6">
        <f>IF(AA13='Phase II - Summary'!$J$45,'Phase II - Summary'!$J$49,0)</f>
        <v>0</v>
      </c>
      <c r="AB70" s="6">
        <f>IF(AB13='Phase II - Summary'!$J$45,'Phase II - Summary'!$J$49,0)</f>
        <v>0</v>
      </c>
      <c r="AC70" s="6">
        <f>IF(AC13='Phase II - Summary'!$J$45,'Phase II - Summary'!$J$49,0)</f>
        <v>0</v>
      </c>
      <c r="AD70" s="6">
        <f>IF(AD13='Phase II - Summary'!$J$45,'Phase II - Summary'!$J$49,0)</f>
        <v>0</v>
      </c>
      <c r="AE70" s="6">
        <f>IF(AE13='Phase II - Summary'!$J$45,'Phase II - Summary'!$J$49,0)</f>
        <v>0</v>
      </c>
      <c r="AF70" s="6">
        <f>IF(AF13='Phase II - Summary'!$J$45,'Phase II - Summary'!$J$49,0)</f>
        <v>0</v>
      </c>
      <c r="AG70" s="6">
        <f>IF(AG13='Phase II - Summary'!$J$45,'Phase II - Summary'!$J$49,0)</f>
        <v>0</v>
      </c>
      <c r="AH70" s="6">
        <f>IF(AH13='Phase II - Summary'!$J$45,'Phase II - Summary'!$J$49,0)</f>
        <v>0</v>
      </c>
      <c r="AI70" s="6">
        <f>IF(AI13='Phase II - Summary'!$J$45,'Phase II - Summary'!$J$49,0)</f>
        <v>0</v>
      </c>
      <c r="AJ70" s="6">
        <f>IF(AJ13='Phase II - Summary'!$J$45,'Phase II - Summary'!$J$49,0)</f>
        <v>0</v>
      </c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CZ70" s="170"/>
      <c r="DA70" s="170"/>
      <c r="DB70" s="170"/>
      <c r="DC70" s="170"/>
      <c r="DD70" s="170"/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  <c r="EE70" s="170"/>
      <c r="EF70" s="170"/>
      <c r="EG70" s="170"/>
      <c r="EH70" s="170"/>
    </row>
    <row r="71" spans="2:138">
      <c r="B71" t="s">
        <v>428</v>
      </c>
      <c r="D71" s="3"/>
      <c r="F71" s="6">
        <f>F68*'Phase II - Summary'!$J$41</f>
        <v>0</v>
      </c>
      <c r="G71" s="6">
        <f>G68*'Phase II - Summary'!$J$41</f>
        <v>0</v>
      </c>
      <c r="H71" s="6">
        <f>H68*'Phase II - Summary'!$J$41</f>
        <v>0</v>
      </c>
      <c r="I71" s="6">
        <f>I68*'Phase II - Summary'!$J$41</f>
        <v>0</v>
      </c>
      <c r="J71" s="6">
        <f>J68*'Phase II - Summary'!$J$41</f>
        <v>0</v>
      </c>
      <c r="K71" s="6">
        <f>K68*'Phase II - Summary'!$J$41</f>
        <v>0</v>
      </c>
      <c r="L71" s="6">
        <f>L68*'Phase II - Summary'!$J$41</f>
        <v>0</v>
      </c>
      <c r="M71" s="6">
        <f>M68*'Phase II - Summary'!$J$41</f>
        <v>0</v>
      </c>
      <c r="N71" s="6">
        <f>N68*'Phase II - Summary'!$J$41</f>
        <v>0</v>
      </c>
      <c r="O71" s="6">
        <f>O68*'Phase II - Summary'!$J$41</f>
        <v>0</v>
      </c>
      <c r="P71" s="6">
        <f>P68*'Phase II - Summary'!$J$41</f>
        <v>0</v>
      </c>
      <c r="Q71" s="6">
        <f>Q68*'Phase II - Summary'!$J$41</f>
        <v>0</v>
      </c>
      <c r="R71" s="6">
        <f ca="1">R68*'Phase II - Summary'!$J$41</f>
        <v>27619818.521194249</v>
      </c>
      <c r="S71" s="6">
        <f ca="1">S68*'Phase II - Summary'!$J$41</f>
        <v>27619818.521194249</v>
      </c>
      <c r="T71" s="6">
        <f ca="1">T68*'Phase II - Summary'!$J$41</f>
        <v>27619818.521194249</v>
      </c>
      <c r="U71" s="6">
        <f ca="1">U68*'Phase II - Summary'!$J$41</f>
        <v>27619818.521194249</v>
      </c>
      <c r="V71" s="6">
        <f ca="1">V68*'Phase II - Summary'!$J$41</f>
        <v>27619818.521194249</v>
      </c>
      <c r="W71" s="6">
        <f ca="1">W68*'Phase II - Summary'!$J$41</f>
        <v>27619818.521194249</v>
      </c>
      <c r="X71" s="6">
        <f ca="1">X68*'Phase II - Summary'!$J$41</f>
        <v>27619818.521194249</v>
      </c>
      <c r="Y71" s="6">
        <f ca="1">Y68*'Phase II - Summary'!$J$41</f>
        <v>27619818.521194249</v>
      </c>
      <c r="Z71" s="6">
        <f ca="1">Z68*'Phase II - Summary'!$J$41</f>
        <v>27619818.521194249</v>
      </c>
      <c r="AA71" s="6">
        <f ca="1">AA68*'Phase II - Summary'!$J$41</f>
        <v>27619818.521194249</v>
      </c>
      <c r="AB71" s="6">
        <f ca="1">AB68*'Phase II - Summary'!$J$41</f>
        <v>0</v>
      </c>
      <c r="AC71" s="6">
        <f ca="1">AC68*'Phase II - Summary'!$J$41</f>
        <v>0</v>
      </c>
      <c r="AD71" s="6">
        <f ca="1">AD68*'Phase II - Summary'!$J$41</f>
        <v>0</v>
      </c>
      <c r="AE71" s="6">
        <f ca="1">AE68*'Phase II - Summary'!$J$41</f>
        <v>0</v>
      </c>
      <c r="AF71" s="6">
        <f ca="1">AF68*'Phase II - Summary'!$J$41</f>
        <v>0</v>
      </c>
      <c r="AG71" s="6">
        <f ca="1">AG68*'Phase II - Summary'!$J$41</f>
        <v>0</v>
      </c>
      <c r="AH71" s="6">
        <f ca="1">AH68*'Phase II - Summary'!$J$41</f>
        <v>0</v>
      </c>
      <c r="AI71" s="6">
        <f ca="1">AI68*'Phase II - Summary'!$J$41</f>
        <v>0</v>
      </c>
      <c r="AJ71" s="6">
        <f ca="1">AJ68*'Phase II - Summary'!$J$41</f>
        <v>0</v>
      </c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  <c r="CR71" s="170"/>
      <c r="CS71" s="170"/>
      <c r="CT71" s="170"/>
      <c r="CU71" s="170"/>
      <c r="CV71" s="170"/>
      <c r="CW71" s="170"/>
      <c r="CX71" s="170"/>
      <c r="CY71" s="170"/>
      <c r="CZ71" s="170"/>
      <c r="DA71" s="170"/>
      <c r="DB71" s="170"/>
      <c r="DC71" s="170"/>
      <c r="DD71" s="170"/>
      <c r="DE71" s="170"/>
      <c r="DF71" s="170"/>
      <c r="DG71" s="170"/>
      <c r="DH71" s="170"/>
      <c r="DI71" s="170"/>
      <c r="DJ71" s="170"/>
      <c r="DK71" s="170"/>
      <c r="DL71" s="170"/>
      <c r="DM71" s="170"/>
      <c r="DN71" s="170"/>
      <c r="DO71" s="170"/>
      <c r="DP71" s="170"/>
      <c r="DQ71" s="170"/>
      <c r="DR71" s="170"/>
      <c r="DS71" s="170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  <c r="EE71" s="170"/>
      <c r="EF71" s="170"/>
      <c r="EG71" s="170"/>
      <c r="EH71" s="170"/>
    </row>
    <row r="72" spans="2:138">
      <c r="B72" t="s">
        <v>429</v>
      </c>
      <c r="D72" s="3"/>
      <c r="F72" s="6">
        <f>IF(F13='Phase II - Summary'!$J$46,'Phase II - Pro Forma'!F68,0)</f>
        <v>0</v>
      </c>
      <c r="G72" s="6">
        <f>IF(G13='Phase II - Summary'!$J$46,'Phase II - Pro Forma'!G68,0)</f>
        <v>0</v>
      </c>
      <c r="H72" s="6">
        <f>IF(H13='Phase II - Summary'!$J$46,'Phase II - Pro Forma'!H68,0)</f>
        <v>0</v>
      </c>
      <c r="I72" s="6">
        <f>IF(I13='Phase II - Summary'!$J$46,'Phase II - Pro Forma'!I68,0)</f>
        <v>0</v>
      </c>
      <c r="J72" s="6">
        <f>IF(J13='Phase II - Summary'!$J$46,'Phase II - Pro Forma'!J68,0)</f>
        <v>0</v>
      </c>
      <c r="K72" s="6">
        <f>IF(K13='Phase II - Summary'!$J$46,'Phase II - Pro Forma'!K68,0)</f>
        <v>0</v>
      </c>
      <c r="L72" s="6">
        <f>IF(L13='Phase II - Summary'!$J$46,'Phase II - Pro Forma'!L68,0)</f>
        <v>0</v>
      </c>
      <c r="M72" s="6">
        <f>IF(M13='Phase II - Summary'!$J$46,'Phase II - Pro Forma'!M68,0)</f>
        <v>0</v>
      </c>
      <c r="N72" s="6">
        <f>IF(N13='Phase II - Summary'!$J$46,'Phase II - Pro Forma'!N68,0)</f>
        <v>0</v>
      </c>
      <c r="O72" s="6">
        <f>IF(O13='Phase II - Summary'!$J$46,'Phase II - Pro Forma'!O68,0)</f>
        <v>0</v>
      </c>
      <c r="P72" s="6">
        <f>IF(P13='Phase II - Summary'!$J$46,'Phase II - Pro Forma'!P68,0)</f>
        <v>0</v>
      </c>
      <c r="Q72" s="6">
        <f>IF(Q13='Phase II - Summary'!$J$46,'Phase II - Pro Forma'!Q68,0)</f>
        <v>0</v>
      </c>
      <c r="R72" s="6">
        <f>IF(R13='Phase II - Summary'!$J$46,'Phase II - Pro Forma'!R68,0)</f>
        <v>0</v>
      </c>
      <c r="S72" s="6">
        <f>IF(S13='Phase II - Summary'!$J$46,'Phase II - Pro Forma'!S68,0)</f>
        <v>0</v>
      </c>
      <c r="T72" s="6">
        <f>IF(T13='Phase II - Summary'!$J$46,'Phase II - Pro Forma'!T68,0)</f>
        <v>0</v>
      </c>
      <c r="U72" s="6">
        <f>IF(U13='Phase II - Summary'!$J$46,'Phase II - Pro Forma'!U68,0)</f>
        <v>0</v>
      </c>
      <c r="V72" s="6">
        <f>IF(V13='Phase II - Summary'!$J$46,'Phase II - Pro Forma'!V68,0)</f>
        <v>0</v>
      </c>
      <c r="W72" s="6">
        <f>IF(W13='Phase II - Summary'!$J$46,'Phase II - Pro Forma'!W68,0)</f>
        <v>0</v>
      </c>
      <c r="X72" s="6">
        <f>IF(X13='Phase II - Summary'!$J$46,'Phase II - Pro Forma'!X68,0)</f>
        <v>0</v>
      </c>
      <c r="Y72" s="6">
        <f>IF(Y13='Phase II - Summary'!$J$46,'Phase II - Pro Forma'!Y68,0)</f>
        <v>0</v>
      </c>
      <c r="Z72" s="6">
        <f>IF(Z13='Phase II - Summary'!$J$46,'Phase II - Pro Forma'!Z68,0)</f>
        <v>0</v>
      </c>
      <c r="AA72" s="6">
        <f ca="1">IF(AA13='Phase II - Summary'!$J$46,'Phase II - Pro Forma'!AA68,0)</f>
        <v>613773744.9154278</v>
      </c>
      <c r="AB72" s="6">
        <f>IF(AB13='Phase II - Summary'!$J$46,'Phase II - Pro Forma'!AB68,0)</f>
        <v>0</v>
      </c>
      <c r="AC72" s="6">
        <f>IF(AC13='Phase II - Summary'!$J$46,'Phase II - Pro Forma'!AC68,0)</f>
        <v>0</v>
      </c>
      <c r="AD72" s="6">
        <f>IF(AD13='Phase II - Summary'!$J$46,'Phase II - Pro Forma'!AD68,0)</f>
        <v>0</v>
      </c>
      <c r="AE72" s="6">
        <f>IF(AE13='Phase II - Summary'!$J$46,'Phase II - Pro Forma'!AE68,0)</f>
        <v>0</v>
      </c>
      <c r="AF72" s="6">
        <f>IF(AF13='Phase II - Summary'!$J$46,'Phase II - Pro Forma'!AF68,0)</f>
        <v>0</v>
      </c>
      <c r="AG72" s="6">
        <f>IF(AG13='Phase II - Summary'!$J$46,'Phase II - Pro Forma'!AG68,0)</f>
        <v>0</v>
      </c>
      <c r="AH72" s="6">
        <f>IF(AH13='Phase II - Summary'!$J$46,'Phase II - Pro Forma'!AH68,0)</f>
        <v>0</v>
      </c>
      <c r="AI72" s="6">
        <f>IF(AI13='Phase II - Summary'!$J$46,'Phase II - Pro Forma'!AI68,0)</f>
        <v>0</v>
      </c>
      <c r="AJ72" s="6">
        <f>IF(AJ13='Phase II - Summary'!$J$46,'Phase II - Pro Forma'!AJ68,0)</f>
        <v>0</v>
      </c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  <c r="CR72" s="170"/>
      <c r="CS72" s="170"/>
      <c r="CT72" s="170"/>
      <c r="CU72" s="170"/>
      <c r="CV72" s="170"/>
      <c r="CW72" s="170"/>
      <c r="CX72" s="170"/>
      <c r="CY72" s="170"/>
      <c r="CZ72" s="170"/>
      <c r="DA72" s="170"/>
      <c r="DB72" s="170"/>
      <c r="DC72" s="170"/>
      <c r="DD72" s="170"/>
      <c r="DE72" s="170"/>
      <c r="DF72" s="170"/>
      <c r="DG72" s="170"/>
      <c r="DH72" s="170"/>
      <c r="DI72" s="170"/>
      <c r="DJ72" s="170"/>
      <c r="DK72" s="170"/>
      <c r="DL72" s="170"/>
      <c r="DM72" s="170"/>
      <c r="DN72" s="170"/>
      <c r="DO72" s="170"/>
      <c r="DP72" s="170"/>
      <c r="DQ72" s="170"/>
      <c r="DR72" s="170"/>
      <c r="DS72" s="170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  <c r="EE72" s="170"/>
      <c r="EF72" s="170"/>
      <c r="EG72" s="170"/>
      <c r="EH72" s="170"/>
    </row>
    <row r="73" spans="2:138">
      <c r="B73" t="s">
        <v>430</v>
      </c>
      <c r="D73" s="3"/>
      <c r="F73" s="6">
        <f>F68+F70-F72-F71</f>
        <v>0</v>
      </c>
      <c r="G73" s="6">
        <f t="shared" ref="G73:AJ73" si="19">G68+G70-G72</f>
        <v>0</v>
      </c>
      <c r="H73" s="6">
        <f t="shared" si="19"/>
        <v>0</v>
      </c>
      <c r="I73" s="6">
        <f t="shared" si="19"/>
        <v>0</v>
      </c>
      <c r="J73" s="6">
        <f t="shared" si="19"/>
        <v>0</v>
      </c>
      <c r="K73" s="6">
        <f t="shared" si="19"/>
        <v>0</v>
      </c>
      <c r="L73" s="6">
        <f t="shared" si="19"/>
        <v>0</v>
      </c>
      <c r="M73" s="6">
        <f t="shared" si="19"/>
        <v>0</v>
      </c>
      <c r="N73" s="6">
        <f t="shared" si="19"/>
        <v>0</v>
      </c>
      <c r="O73" s="6">
        <f t="shared" si="19"/>
        <v>0</v>
      </c>
      <c r="P73" s="6">
        <f t="shared" si="19"/>
        <v>0</v>
      </c>
      <c r="Q73" s="6">
        <f t="shared" ca="1" si="19"/>
        <v>613773744.9154278</v>
      </c>
      <c r="R73" s="6">
        <f t="shared" ca="1" si="19"/>
        <v>613773744.9154278</v>
      </c>
      <c r="S73" s="6">
        <f t="shared" ca="1" si="19"/>
        <v>613773744.9154278</v>
      </c>
      <c r="T73" s="6">
        <f t="shared" ca="1" si="19"/>
        <v>613773744.9154278</v>
      </c>
      <c r="U73" s="6">
        <f t="shared" ca="1" si="19"/>
        <v>613773744.9154278</v>
      </c>
      <c r="V73" s="6">
        <f t="shared" ca="1" si="19"/>
        <v>613773744.9154278</v>
      </c>
      <c r="W73" s="6">
        <f t="shared" ca="1" si="19"/>
        <v>613773744.9154278</v>
      </c>
      <c r="X73" s="6">
        <f t="shared" ca="1" si="19"/>
        <v>613773744.9154278</v>
      </c>
      <c r="Y73" s="6">
        <f t="shared" ca="1" si="19"/>
        <v>613773744.9154278</v>
      </c>
      <c r="Z73" s="6">
        <f t="shared" ca="1" si="19"/>
        <v>613773744.9154278</v>
      </c>
      <c r="AA73" s="6">
        <f ca="1">AA68+AA70-AA72</f>
        <v>0</v>
      </c>
      <c r="AB73" s="6">
        <f t="shared" ca="1" si="19"/>
        <v>0</v>
      </c>
      <c r="AC73" s="6">
        <f t="shared" ca="1" si="19"/>
        <v>0</v>
      </c>
      <c r="AD73" s="6">
        <f t="shared" ca="1" si="19"/>
        <v>0</v>
      </c>
      <c r="AE73" s="6">
        <f t="shared" ca="1" si="19"/>
        <v>0</v>
      </c>
      <c r="AF73" s="6">
        <f t="shared" ca="1" si="19"/>
        <v>0</v>
      </c>
      <c r="AG73" s="6">
        <f t="shared" ca="1" si="19"/>
        <v>0</v>
      </c>
      <c r="AH73" s="6">
        <f t="shared" ca="1" si="19"/>
        <v>0</v>
      </c>
      <c r="AI73" s="6">
        <f t="shared" ca="1" si="19"/>
        <v>0</v>
      </c>
      <c r="AJ73" s="6">
        <f t="shared" ca="1" si="19"/>
        <v>0</v>
      </c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  <c r="CR73" s="170"/>
      <c r="CS73" s="170"/>
      <c r="CT73" s="170"/>
      <c r="CU73" s="170"/>
      <c r="CV73" s="170"/>
      <c r="CW73" s="170"/>
      <c r="CX73" s="170"/>
      <c r="CY73" s="170"/>
      <c r="CZ73" s="170"/>
      <c r="DA73" s="170"/>
      <c r="DB73" s="170"/>
      <c r="DC73" s="170"/>
      <c r="DD73" s="170"/>
      <c r="DE73" s="170"/>
      <c r="DF73" s="170"/>
      <c r="DG73" s="170"/>
      <c r="DH73" s="170"/>
      <c r="DI73" s="170"/>
      <c r="DJ73" s="170"/>
      <c r="DK73" s="170"/>
      <c r="DL73" s="170"/>
      <c r="DM73" s="170"/>
      <c r="DN73" s="170"/>
      <c r="DO73" s="170"/>
      <c r="DP73" s="170"/>
      <c r="DQ73" s="170"/>
      <c r="DR73" s="170"/>
      <c r="DS73" s="170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  <c r="EE73" s="170"/>
      <c r="EF73" s="170"/>
      <c r="EG73" s="170"/>
      <c r="EH73" s="170"/>
    </row>
    <row r="74" spans="2:138">
      <c r="D74" s="3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170"/>
      <c r="DH74" s="170"/>
      <c r="DI74" s="170"/>
      <c r="DJ74" s="170"/>
      <c r="DK74" s="170"/>
      <c r="DL74" s="170"/>
      <c r="DM74" s="170"/>
      <c r="DN74" s="170"/>
      <c r="DO74" s="170"/>
      <c r="DP74" s="170"/>
      <c r="DQ74" s="170"/>
      <c r="DR74" s="170"/>
      <c r="DS74" s="170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  <c r="EE74" s="170"/>
      <c r="EF74" s="170"/>
      <c r="EG74" s="170"/>
      <c r="EH74" s="170"/>
    </row>
    <row r="75" spans="2:138" ht="13.8" thickBot="1">
      <c r="B75" t="s">
        <v>433</v>
      </c>
      <c r="D75" s="19">
        <f ca="1">SUM(F75:AJ75)</f>
        <v>1669065173.1948128</v>
      </c>
      <c r="F75" s="6">
        <f ca="1">IF(F13&lt;='Phase II - Summary'!$J$46,-F52+F65+F70-F69-F71+F72,0)</f>
        <v>-104048017</v>
      </c>
      <c r="G75" s="6">
        <f ca="1">IF(G13&lt;='Phase II - Summary'!$J$46,-G52+G65+G70-G69-G71+G72,0)</f>
        <v>0</v>
      </c>
      <c r="H75" s="6">
        <f ca="1">IF(H13&lt;='Phase II - Summary'!$J$46,-H52+H65+H70-H69-H71+H72,0)</f>
        <v>0</v>
      </c>
      <c r="I75" s="6">
        <f ca="1">IF(I13&lt;='Phase II - Summary'!$J$46,-I52+I65+I70-I69-I71+I72,0)</f>
        <v>0</v>
      </c>
      <c r="J75" s="6">
        <f ca="1">IF(J13&lt;='Phase II - Summary'!$J$46,-J52+J65+J70-J69-J71+J72,0)</f>
        <v>0</v>
      </c>
      <c r="K75" s="6">
        <f ca="1">IF(K13&lt;='Phase II - Summary'!$J$46,-K52+K65+K70-K69-K71+K72,0)</f>
        <v>-54956423.649571568</v>
      </c>
      <c r="L75" s="6">
        <f ca="1">IF(L13&lt;='Phase II - Summary'!$J$46,-L52+L65+L70-L69-L71+L72,0)</f>
        <v>0</v>
      </c>
      <c r="M75" s="6">
        <f ca="1">IF(M13&lt;='Phase II - Summary'!$J$46,-M52+M65+M70-M69-M71+M72,0)</f>
        <v>0</v>
      </c>
      <c r="N75" s="6">
        <f ca="1">IF(N13&lt;='Phase II - Summary'!$J$46,-N52+N65+N70-N69-N71+N72,0)</f>
        <v>35706114.957173079</v>
      </c>
      <c r="O75" s="6">
        <f ca="1">IF(O13&lt;='Phase II - Summary'!$J$46,-O52+O65+O70-O69-O71+O72,0)</f>
        <v>36921928.641335987</v>
      </c>
      <c r="P75" s="6">
        <f ca="1">IF(P13&lt;='Phase II - Summary'!$J$46,-P52+P65+P70-P69-P71+P72,0)</f>
        <v>38171892.582067966</v>
      </c>
      <c r="Q75" s="6">
        <f ca="1">IF(Q13&lt;='Phase II - Summary'!$J$46,-Q52+Q65+Q70-Q69-Q71+Q72,0)</f>
        <v>906080950.40573764</v>
      </c>
      <c r="R75" s="6">
        <f ca="1">IF(R13&lt;='Phase II - Summary'!$J$46,-R52+R65+R70-R69-R71+R72,0)</f>
        <v>13157978.284151837</v>
      </c>
      <c r="S75" s="6">
        <f ca="1">IF(S13&lt;='Phase II - Summary'!$J$46,-S52+S65+S70-S69-S71+S72,0)</f>
        <v>14515727.193367921</v>
      </c>
      <c r="T75" s="6">
        <f ca="1">IF(T13&lt;='Phase II - Summary'!$J$46,-T52+T65+T70-T69-T71+T72,0)</f>
        <v>15911243.862865835</v>
      </c>
      <c r="U75" s="6">
        <f ca="1">IF(U13&lt;='Phase II - Summary'!$J$46,-U52+U65+U70-U69-U71+U72,0)</f>
        <v>17345478.978492387</v>
      </c>
      <c r="V75" s="6">
        <f ca="1">IF(V13&lt;='Phase II - Summary'!$J$46,-V52+V65+V70-V69-V71+V72,0)</f>
        <v>18819401.934923641</v>
      </c>
      <c r="W75" s="6">
        <f ca="1">IF(W13&lt;='Phase II - Summary'!$J$46,-W52+W65+W70-W69-W71+W72,0)</f>
        <v>20334000.89124696</v>
      </c>
      <c r="X75" s="6">
        <f ca="1">IF(X13&lt;='Phase II - Summary'!$J$46,-X52+X65+X70-X69-X71+X72,0)</f>
        <v>21890282.802539438</v>
      </c>
      <c r="Y75" s="6">
        <f ca="1">IF(Y13&lt;='Phase II - Summary'!$J$46,-Y52+Y65+Y70-Y69-Y71+Y72,0)</f>
        <v>23489273.425425917</v>
      </c>
      <c r="Z75" s="6">
        <f ca="1">IF(Z13&lt;='Phase II - Summary'!$J$46,-Z52+Z65+Z70-Z69-Z71+Z72,0)</f>
        <v>25132017.295474425</v>
      </c>
      <c r="AA75" s="6">
        <f ca="1">IF(AA13&lt;='Phase II - Summary'!$J$46,-AA52+AA65+AA70-AA69-AA71+AA72,0)</f>
        <v>640593322.58958077</v>
      </c>
      <c r="AB75" s="6">
        <f>IF(AB13&lt;='Phase II - Summary'!$J$46,-AB52+AB65+AB70-AB69-AB71+AB72,0)</f>
        <v>0</v>
      </c>
      <c r="AC75" s="6">
        <f>IF(AC13&lt;='Phase II - Summary'!$J$46,-AC52+AC65+AC70-AC69-AC71+AC72,0)</f>
        <v>0</v>
      </c>
      <c r="AD75" s="6">
        <f>IF(AD13&lt;='Phase II - Summary'!$J$46,-AD52+AD65+AD70-AD69-AD71+AD72,0)</f>
        <v>0</v>
      </c>
      <c r="AE75" s="6">
        <f>IF(AE13&lt;='Phase II - Summary'!$J$46,-AE52+AE65+AE70-AE69-AE71+AE72,0)</f>
        <v>0</v>
      </c>
      <c r="AF75" s="6">
        <f>IF(AF13&lt;='Phase II - Summary'!$J$46,-AF52+AF65+AF70-AF69-AF71+AF72,0)</f>
        <v>0</v>
      </c>
      <c r="AG75" s="6">
        <f>IF(AG13&lt;='Phase II - Summary'!$J$46,-AG52+AG65+AG70-AG69-AG71+AG72,0)</f>
        <v>0</v>
      </c>
      <c r="AH75" s="6">
        <f>IF(AH13&lt;='Phase II - Summary'!$J$46,-AH52+AH65+AH70-AH69-AH71+AH72,0)</f>
        <v>0</v>
      </c>
      <c r="AI75" s="6">
        <f>IF(AI13&lt;='Phase II - Summary'!$J$46,-AI52+AI65+AI70-AI69-AI71+AI72,0)</f>
        <v>0</v>
      </c>
      <c r="AJ75" s="6">
        <f>IF(AJ13&lt;='Phase II - Summary'!$J$46,-AJ52+AJ65+AJ70-AJ69-AJ71+AJ72,0)</f>
        <v>0</v>
      </c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  <c r="EE75" s="170"/>
      <c r="EF75" s="170"/>
      <c r="EG75" s="170"/>
      <c r="EH75" s="170"/>
    </row>
    <row r="76" spans="2:138" ht="14.4">
      <c r="B76" s="24" t="s">
        <v>434</v>
      </c>
      <c r="C76" s="25"/>
      <c r="D76" s="26">
        <f ca="1">IRR(F75:AJ75)</f>
        <v>0.23131761109305859</v>
      </c>
    </row>
    <row r="77" spans="2:138" ht="15" thickBot="1">
      <c r="B77" s="27" t="s">
        <v>435</v>
      </c>
      <c r="C77" s="28"/>
      <c r="D77" s="29">
        <f ca="1">-SUMIF(F75:DV75,"&gt;0")/SUMIF(F75:DV75,"&lt;0")</f>
        <v>11.496972074341306</v>
      </c>
    </row>
  </sheetData>
  <printOptions horizontalCentered="1"/>
  <pageMargins left="0.7" right="0.7" top="0.75" bottom="0.75" header="0.3" footer="0.3"/>
  <pageSetup paperSize="3" scale="71" fitToWidth="0" orientation="landscape" r:id="rId1"/>
  <headerFooter>
    <oddHeader xml:space="preserve">&amp;L2019 ULI Hines Student Competition&amp;R2019-331 &amp;A </oddHeader>
  </headerFooter>
  <colBreaks count="1" manualBreakCount="1">
    <brk id="17" min="1" max="76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B9379-0B22-4DCC-85DF-3EB272E5082D}">
  <sheetPr>
    <tabColor rgb="FFFFC000"/>
  </sheetPr>
  <dimension ref="A8:AK88"/>
  <sheetViews>
    <sheetView showGridLines="0" view="pageBreakPreview" zoomScale="80" zoomScaleNormal="100" zoomScaleSheetLayoutView="80" workbookViewId="0"/>
  </sheetViews>
  <sheetFormatPr defaultColWidth="12.44140625" defaultRowHeight="15.6"/>
  <cols>
    <col min="1" max="3" width="1.88671875" style="58" customWidth="1"/>
    <col min="4" max="4" width="6.44140625" style="58" bestFit="1" customWidth="1"/>
    <col min="5" max="5" width="12.44140625" style="58"/>
    <col min="6" max="6" width="16.77734375" style="58" bestFit="1" customWidth="1"/>
    <col min="7" max="7" width="17.44140625" style="58" bestFit="1" customWidth="1"/>
    <col min="8" max="18" width="14.6640625" style="58" bestFit="1" customWidth="1"/>
    <col min="19" max="19" width="15.21875" style="58" bestFit="1" customWidth="1"/>
    <col min="20" max="20" width="12.77734375" style="58" bestFit="1" customWidth="1"/>
    <col min="21" max="16384" width="12.44140625" style="58"/>
  </cols>
  <sheetData>
    <row r="8" spans="1:19">
      <c r="B8" s="410" t="s">
        <v>762</v>
      </c>
    </row>
    <row r="9" spans="1:19">
      <c r="B9" s="411" t="s">
        <v>766</v>
      </c>
    </row>
    <row r="11" spans="1:19">
      <c r="A11" s="58" t="s">
        <v>472</v>
      </c>
      <c r="B11" s="242" t="s">
        <v>473</v>
      </c>
      <c r="C11" s="242"/>
      <c r="D11" s="242"/>
      <c r="E11" s="242"/>
      <c r="F11" s="242"/>
      <c r="G11" s="242"/>
      <c r="I11" s="242" t="s">
        <v>474</v>
      </c>
      <c r="J11" s="242"/>
      <c r="K11" s="242"/>
      <c r="L11" s="242"/>
      <c r="M11" s="242"/>
      <c r="O11" s="242" t="s">
        <v>475</v>
      </c>
      <c r="P11" s="242"/>
      <c r="Q11" s="242"/>
      <c r="R11" s="242"/>
    </row>
    <row r="12" spans="1:19">
      <c r="B12" s="58" t="s">
        <v>476</v>
      </c>
      <c r="G12" s="499">
        <f>G15/G16</f>
        <v>379.82538999999997</v>
      </c>
      <c r="H12" s="215"/>
      <c r="I12" s="500" t="s">
        <v>477</v>
      </c>
      <c r="J12" s="215"/>
      <c r="K12" s="215"/>
      <c r="L12" s="215"/>
      <c r="M12" s="215"/>
      <c r="O12" s="58" t="s">
        <v>478</v>
      </c>
      <c r="R12" s="61">
        <f ca="1">MAX(G27:G29)</f>
        <v>115194133.1383957</v>
      </c>
    </row>
    <row r="13" spans="1:19">
      <c r="B13" s="58" t="s">
        <v>479</v>
      </c>
      <c r="F13" s="62"/>
      <c r="G13" s="501">
        <f>'Area Matrix'!D42</f>
        <v>446853.39999999997</v>
      </c>
      <c r="H13" s="215"/>
      <c r="I13" s="215" t="s">
        <v>480</v>
      </c>
      <c r="J13" s="215"/>
      <c r="K13" s="215"/>
      <c r="L13" s="215"/>
      <c r="M13" s="653">
        <v>1400</v>
      </c>
      <c r="O13" s="58" t="s">
        <v>460</v>
      </c>
      <c r="R13" s="650">
        <v>5.6000000000000001E-2</v>
      </c>
    </row>
    <row r="14" spans="1:19">
      <c r="B14" s="58" t="s">
        <v>625</v>
      </c>
      <c r="G14" s="581">
        <v>0.85</v>
      </c>
      <c r="H14" s="215"/>
      <c r="I14" s="215" t="s">
        <v>481</v>
      </c>
      <c r="J14" s="215"/>
      <c r="K14" s="215"/>
      <c r="L14" s="215"/>
      <c r="M14" s="653">
        <v>1500</v>
      </c>
      <c r="O14" s="58" t="s">
        <v>482</v>
      </c>
      <c r="R14" s="651">
        <v>20</v>
      </c>
    </row>
    <row r="15" spans="1:19">
      <c r="B15" s="58" t="s">
        <v>557</v>
      </c>
      <c r="G15" s="502">
        <f>G13*G14</f>
        <v>379825.38999999996</v>
      </c>
      <c r="H15" s="215"/>
      <c r="I15" s="215" t="s">
        <v>484</v>
      </c>
      <c r="J15" s="215"/>
      <c r="K15" s="215"/>
      <c r="L15" s="215"/>
      <c r="M15" s="653">
        <v>1700</v>
      </c>
      <c r="O15" s="58" t="s">
        <v>485</v>
      </c>
      <c r="R15" s="508">
        <f ca="1">PMT(R13/12,R14*12,R12)</f>
        <v>-798926.04820982146</v>
      </c>
      <c r="S15" s="65"/>
    </row>
    <row r="16" spans="1:19">
      <c r="B16" s="58" t="s">
        <v>21</v>
      </c>
      <c r="G16" s="652">
        <v>1000</v>
      </c>
      <c r="H16" s="215"/>
      <c r="I16" s="215" t="s">
        <v>487</v>
      </c>
      <c r="J16" s="215"/>
      <c r="K16" s="215"/>
      <c r="L16" s="215"/>
      <c r="M16" s="581">
        <v>0.05</v>
      </c>
      <c r="R16" s="215"/>
    </row>
    <row r="17" spans="1:18">
      <c r="B17" s="58" t="s">
        <v>483</v>
      </c>
      <c r="E17" s="64"/>
      <c r="F17" s="64"/>
      <c r="G17" s="581">
        <v>0.2</v>
      </c>
      <c r="H17" s="215"/>
      <c r="I17" s="215" t="s">
        <v>489</v>
      </c>
      <c r="J17" s="215"/>
      <c r="K17" s="215"/>
      <c r="L17" s="215"/>
      <c r="M17" s="581">
        <v>0.03</v>
      </c>
      <c r="O17" s="58" t="s">
        <v>467</v>
      </c>
      <c r="R17" s="581">
        <v>0.7</v>
      </c>
    </row>
    <row r="18" spans="1:18">
      <c r="B18" s="58" t="s">
        <v>486</v>
      </c>
      <c r="G18" s="581">
        <v>0.5</v>
      </c>
      <c r="H18" s="215"/>
      <c r="I18" s="215" t="s">
        <v>490</v>
      </c>
      <c r="J18" s="215"/>
      <c r="K18" s="215"/>
      <c r="L18" s="215"/>
      <c r="M18" s="654">
        <v>6</v>
      </c>
      <c r="O18" s="58" t="s">
        <v>491</v>
      </c>
      <c r="R18" s="582">
        <v>1.33</v>
      </c>
    </row>
    <row r="19" spans="1:18">
      <c r="B19" s="58" t="s">
        <v>488</v>
      </c>
      <c r="G19" s="581">
        <v>0.3</v>
      </c>
      <c r="H19" s="215"/>
      <c r="I19" s="215" t="s">
        <v>492</v>
      </c>
      <c r="J19" s="215"/>
      <c r="K19" s="215"/>
      <c r="L19" s="215"/>
      <c r="M19" s="654">
        <v>29</v>
      </c>
      <c r="O19" s="58" t="s">
        <v>493</v>
      </c>
      <c r="R19" s="581">
        <v>0.08</v>
      </c>
    </row>
    <row r="20" spans="1:18">
      <c r="B20" s="58" t="s">
        <v>496</v>
      </c>
      <c r="G20" s="501">
        <f>G12/1.5</f>
        <v>253.21692666666664</v>
      </c>
      <c r="H20" s="215"/>
      <c r="I20" s="215" t="s">
        <v>494</v>
      </c>
      <c r="J20" s="215"/>
      <c r="K20" s="215"/>
      <c r="L20" s="215"/>
      <c r="M20" s="655">
        <v>0.3</v>
      </c>
      <c r="O20" s="58" t="s">
        <v>495</v>
      </c>
      <c r="R20" s="581">
        <v>0.05</v>
      </c>
    </row>
    <row r="21" spans="1:18">
      <c r="G21" s="503"/>
      <c r="H21" s="215"/>
      <c r="I21" s="215" t="s">
        <v>497</v>
      </c>
      <c r="J21" s="215"/>
      <c r="K21" s="215"/>
      <c r="L21" s="215"/>
      <c r="M21" s="581">
        <v>0.02</v>
      </c>
      <c r="R21" s="67"/>
    </row>
    <row r="22" spans="1:18">
      <c r="G22" s="504"/>
      <c r="H22" s="215"/>
      <c r="I22" s="215" t="s">
        <v>728</v>
      </c>
      <c r="J22" s="215"/>
      <c r="K22" s="215"/>
      <c r="L22" s="215"/>
      <c r="M22" s="505">
        <f>Taxes!$X$13</f>
        <v>0.06</v>
      </c>
      <c r="O22" s="242" t="s">
        <v>499</v>
      </c>
      <c r="P22" s="242"/>
      <c r="Q22" s="242"/>
      <c r="R22" s="242"/>
    </row>
    <row r="23" spans="1:18">
      <c r="G23" s="215"/>
      <c r="H23" s="215"/>
      <c r="I23" s="215" t="s">
        <v>498</v>
      </c>
      <c r="J23" s="215"/>
      <c r="K23" s="215"/>
      <c r="L23" s="215"/>
      <c r="M23" s="581">
        <v>0.02</v>
      </c>
      <c r="O23" s="58" t="s">
        <v>28</v>
      </c>
      <c r="Q23" s="69">
        <f ca="1">R23/R25</f>
        <v>0.30000000000000004</v>
      </c>
      <c r="R23" s="61">
        <f ca="1">R25-R24</f>
        <v>49368914.202169597</v>
      </c>
    </row>
    <row r="24" spans="1:18">
      <c r="G24" s="215"/>
      <c r="H24" s="215"/>
      <c r="I24" s="215" t="s">
        <v>500</v>
      </c>
      <c r="J24" s="215"/>
      <c r="K24" s="506"/>
      <c r="L24" s="215"/>
      <c r="M24" s="653">
        <v>1920</v>
      </c>
      <c r="O24" s="70" t="s">
        <v>478</v>
      </c>
      <c r="P24" s="70"/>
      <c r="Q24" s="71">
        <f ca="1">R24/R25</f>
        <v>0.7</v>
      </c>
      <c r="R24" s="72">
        <f ca="1">R12</f>
        <v>115194133.1383957</v>
      </c>
    </row>
    <row r="25" spans="1:18">
      <c r="G25" s="507"/>
      <c r="H25" s="215"/>
      <c r="I25" s="215" t="s">
        <v>501</v>
      </c>
      <c r="J25" s="215"/>
      <c r="K25" s="506"/>
      <c r="L25" s="215"/>
      <c r="M25" s="581">
        <v>0.1</v>
      </c>
      <c r="O25" s="58" t="s">
        <v>16</v>
      </c>
      <c r="R25" s="61">
        <f ca="1">R30</f>
        <v>164563047.34056529</v>
      </c>
    </row>
    <row r="26" spans="1:18">
      <c r="B26" s="242" t="s">
        <v>502</v>
      </c>
      <c r="C26" s="242"/>
      <c r="D26" s="242"/>
      <c r="E26" s="242"/>
      <c r="F26" s="242"/>
      <c r="G26" s="242"/>
      <c r="I26" s="58" t="s">
        <v>503</v>
      </c>
      <c r="K26" s="68"/>
      <c r="M26" s="579">
        <v>10</v>
      </c>
    </row>
    <row r="27" spans="1:18">
      <c r="B27" s="58" t="s">
        <v>467</v>
      </c>
      <c r="G27" s="74">
        <f ca="1">R17*R28</f>
        <v>115194133.1383957</v>
      </c>
      <c r="I27" s="58" t="s">
        <v>504</v>
      </c>
      <c r="K27" s="68"/>
      <c r="M27" s="583">
        <v>0.08</v>
      </c>
      <c r="O27" s="242" t="s">
        <v>449</v>
      </c>
      <c r="P27" s="242"/>
      <c r="Q27" s="242"/>
      <c r="R27" s="242"/>
    </row>
    <row r="28" spans="1:18">
      <c r="B28" s="58" t="s">
        <v>491</v>
      </c>
      <c r="G28" s="61">
        <f>H58/R19</f>
        <v>22414534.368800003</v>
      </c>
      <c r="I28" s="58" t="s">
        <v>505</v>
      </c>
      <c r="M28" s="578">
        <v>5.6000000000000001E-2</v>
      </c>
      <c r="O28" s="58" t="s">
        <v>506</v>
      </c>
      <c r="R28" s="214">
        <f ca="1">SUM('Area Matrix'!D57,'Area Matrix'!H57,'Area Matrix'!L57,'Area Matrix'!P57,'Area Matrix'!T57)</f>
        <v>164563047.34056529</v>
      </c>
    </row>
    <row r="29" spans="1:18">
      <c r="B29" s="58" t="s">
        <v>493</v>
      </c>
      <c r="G29" s="61">
        <f>PV(R13/12,R14*12,-H58/R18/12,0)</f>
        <v>16199835.374898937</v>
      </c>
      <c r="O29" s="70" t="s">
        <v>507</v>
      </c>
      <c r="P29" s="70"/>
      <c r="Q29" s="70"/>
      <c r="R29" s="588">
        <v>0</v>
      </c>
    </row>
    <row r="30" spans="1:18">
      <c r="O30" s="58" t="s">
        <v>453</v>
      </c>
      <c r="R30" s="61">
        <f ca="1">SUM(R28:R29)</f>
        <v>164563047.34056529</v>
      </c>
    </row>
    <row r="32" spans="1:18">
      <c r="A32" s="58" t="s">
        <v>472</v>
      </c>
      <c r="B32" s="242" t="s">
        <v>508</v>
      </c>
      <c r="C32" s="242"/>
      <c r="D32" s="242"/>
      <c r="E32" s="242"/>
      <c r="F32" s="242"/>
      <c r="G32" s="243">
        <f>F32+1</f>
        <v>1</v>
      </c>
      <c r="H32" s="243">
        <f>G32+1</f>
        <v>2</v>
      </c>
      <c r="I32" s="243">
        <f t="shared" ref="I32:R32" si="0">H32+1</f>
        <v>3</v>
      </c>
      <c r="J32" s="243">
        <f t="shared" si="0"/>
        <v>4</v>
      </c>
      <c r="K32" s="243">
        <f t="shared" si="0"/>
        <v>5</v>
      </c>
      <c r="L32" s="243">
        <f t="shared" si="0"/>
        <v>6</v>
      </c>
      <c r="M32" s="243">
        <f t="shared" si="0"/>
        <v>7</v>
      </c>
      <c r="N32" s="243">
        <f t="shared" si="0"/>
        <v>8</v>
      </c>
      <c r="O32" s="243">
        <f t="shared" si="0"/>
        <v>9</v>
      </c>
      <c r="P32" s="243">
        <f t="shared" si="0"/>
        <v>10</v>
      </c>
      <c r="Q32" s="243">
        <f t="shared" si="0"/>
        <v>11</v>
      </c>
      <c r="R32" s="243">
        <f t="shared" si="0"/>
        <v>12</v>
      </c>
    </row>
    <row r="33" spans="1:37">
      <c r="B33" s="60" t="s">
        <v>509</v>
      </c>
    </row>
    <row r="34" spans="1:37">
      <c r="B34" s="58" t="s">
        <v>510</v>
      </c>
      <c r="G34" s="61">
        <f t="shared" ref="G34:R34" si="1">IF(G32&gt;=$M$18,$M$13*$M$19*$G$17*($L$32),$M$13*$G$17*(G$32*$M$19))</f>
        <v>8120</v>
      </c>
      <c r="H34" s="61">
        <f t="shared" si="1"/>
        <v>16240</v>
      </c>
      <c r="I34" s="61">
        <f t="shared" si="1"/>
        <v>24360</v>
      </c>
      <c r="J34" s="61">
        <f t="shared" si="1"/>
        <v>32480</v>
      </c>
      <c r="K34" s="61">
        <f t="shared" si="1"/>
        <v>40600</v>
      </c>
      <c r="L34" s="61">
        <f t="shared" si="1"/>
        <v>48720</v>
      </c>
      <c r="M34" s="61">
        <f t="shared" si="1"/>
        <v>48720</v>
      </c>
      <c r="N34" s="61">
        <f t="shared" si="1"/>
        <v>48720</v>
      </c>
      <c r="O34" s="61">
        <f t="shared" si="1"/>
        <v>48720</v>
      </c>
      <c r="P34" s="61">
        <f t="shared" si="1"/>
        <v>48720</v>
      </c>
      <c r="Q34" s="61">
        <f t="shared" si="1"/>
        <v>48720</v>
      </c>
      <c r="R34" s="61">
        <f t="shared" si="1"/>
        <v>48720</v>
      </c>
      <c r="S34" s="65"/>
      <c r="T34" s="65"/>
    </row>
    <row r="35" spans="1:37">
      <c r="B35" s="58" t="s">
        <v>511</v>
      </c>
      <c r="G35" s="61">
        <f t="shared" ref="G35:R35" si="2">IF(G32&gt;=$M$18,$M$14*$M$19*$G$18*($L$32),$M$14*$G$18*(G$32*$M$19))</f>
        <v>21750</v>
      </c>
      <c r="H35" s="61">
        <f t="shared" si="2"/>
        <v>43500</v>
      </c>
      <c r="I35" s="61">
        <f t="shared" si="2"/>
        <v>65250</v>
      </c>
      <c r="J35" s="61">
        <f t="shared" si="2"/>
        <v>87000</v>
      </c>
      <c r="K35" s="61">
        <f t="shared" si="2"/>
        <v>108750</v>
      </c>
      <c r="L35" s="61">
        <f t="shared" si="2"/>
        <v>130500</v>
      </c>
      <c r="M35" s="61">
        <f t="shared" si="2"/>
        <v>130500</v>
      </c>
      <c r="N35" s="61">
        <f t="shared" si="2"/>
        <v>130500</v>
      </c>
      <c r="O35" s="61">
        <f t="shared" si="2"/>
        <v>130500</v>
      </c>
      <c r="P35" s="61">
        <f t="shared" si="2"/>
        <v>130500</v>
      </c>
      <c r="Q35" s="61">
        <f t="shared" si="2"/>
        <v>130500</v>
      </c>
      <c r="R35" s="61">
        <f t="shared" si="2"/>
        <v>130500</v>
      </c>
    </row>
    <row r="36" spans="1:37">
      <c r="B36" s="58" t="s">
        <v>512</v>
      </c>
      <c r="G36" s="61">
        <f t="shared" ref="G36:R36" si="3">IF(G32&gt;=$M$18,$M$15*$M$19*$G$19*($L$32),$M$15*$G$19*(G$32*$M$19))</f>
        <v>14790</v>
      </c>
      <c r="H36" s="61">
        <f t="shared" si="3"/>
        <v>29580</v>
      </c>
      <c r="I36" s="61">
        <f t="shared" si="3"/>
        <v>44370</v>
      </c>
      <c r="J36" s="61">
        <f t="shared" si="3"/>
        <v>59160</v>
      </c>
      <c r="K36" s="61">
        <f t="shared" si="3"/>
        <v>73950</v>
      </c>
      <c r="L36" s="61">
        <f t="shared" si="3"/>
        <v>88740</v>
      </c>
      <c r="M36" s="61">
        <f t="shared" si="3"/>
        <v>88740</v>
      </c>
      <c r="N36" s="61">
        <f t="shared" si="3"/>
        <v>88740</v>
      </c>
      <c r="O36" s="61">
        <f t="shared" si="3"/>
        <v>88740</v>
      </c>
      <c r="P36" s="61">
        <f t="shared" si="3"/>
        <v>88740</v>
      </c>
      <c r="Q36" s="61">
        <f t="shared" si="3"/>
        <v>88740</v>
      </c>
      <c r="R36" s="61">
        <f t="shared" si="3"/>
        <v>88740</v>
      </c>
    </row>
    <row r="37" spans="1:37">
      <c r="B37" s="76" t="s">
        <v>16</v>
      </c>
      <c r="C37" s="76"/>
      <c r="D37" s="76"/>
      <c r="E37" s="76"/>
      <c r="F37" s="76"/>
      <c r="G37" s="77">
        <f>SUM(G34:G36)</f>
        <v>44660</v>
      </c>
      <c r="H37" s="77">
        <f t="shared" ref="H37:R37" si="4">SUM(H34:H36)</f>
        <v>89320</v>
      </c>
      <c r="I37" s="77">
        <f t="shared" si="4"/>
        <v>133980</v>
      </c>
      <c r="J37" s="77">
        <f t="shared" si="4"/>
        <v>178640</v>
      </c>
      <c r="K37" s="77">
        <f t="shared" si="4"/>
        <v>223300</v>
      </c>
      <c r="L37" s="77">
        <f t="shared" si="4"/>
        <v>267960</v>
      </c>
      <c r="M37" s="77">
        <f t="shared" si="4"/>
        <v>267960</v>
      </c>
      <c r="N37" s="77">
        <f t="shared" si="4"/>
        <v>267960</v>
      </c>
      <c r="O37" s="77">
        <f t="shared" si="4"/>
        <v>267960</v>
      </c>
      <c r="P37" s="77">
        <f t="shared" si="4"/>
        <v>267960</v>
      </c>
      <c r="Q37" s="77">
        <f t="shared" si="4"/>
        <v>267960</v>
      </c>
      <c r="R37" s="77">
        <f t="shared" si="4"/>
        <v>267960</v>
      </c>
    </row>
    <row r="39" spans="1:37">
      <c r="A39" s="58" t="s">
        <v>472</v>
      </c>
      <c r="B39" s="242" t="s">
        <v>513</v>
      </c>
      <c r="C39" s="242"/>
      <c r="D39" s="242"/>
      <c r="E39" s="242"/>
      <c r="F39" s="242"/>
      <c r="G39" s="590">
        <v>0</v>
      </c>
      <c r="H39" s="243">
        <f>G39+1</f>
        <v>1</v>
      </c>
      <c r="I39" s="243">
        <f t="shared" ref="I39:AK39" si="5">H39+1</f>
        <v>2</v>
      </c>
      <c r="J39" s="243">
        <f t="shared" si="5"/>
        <v>3</v>
      </c>
      <c r="K39" s="243">
        <f t="shared" si="5"/>
        <v>4</v>
      </c>
      <c r="L39" s="243">
        <f t="shared" si="5"/>
        <v>5</v>
      </c>
      <c r="M39" s="243">
        <f t="shared" si="5"/>
        <v>6</v>
      </c>
      <c r="N39" s="243">
        <f t="shared" si="5"/>
        <v>7</v>
      </c>
      <c r="O39" s="243">
        <f t="shared" si="5"/>
        <v>8</v>
      </c>
      <c r="P39" s="243">
        <f t="shared" si="5"/>
        <v>9</v>
      </c>
      <c r="Q39" s="243">
        <f t="shared" si="5"/>
        <v>10</v>
      </c>
      <c r="R39" s="243">
        <f t="shared" si="5"/>
        <v>11</v>
      </c>
      <c r="S39" s="78">
        <f t="shared" si="5"/>
        <v>12</v>
      </c>
      <c r="T39" s="78">
        <f t="shared" si="5"/>
        <v>13</v>
      </c>
      <c r="U39" s="78">
        <f t="shared" si="5"/>
        <v>14</v>
      </c>
      <c r="V39" s="78">
        <f t="shared" si="5"/>
        <v>15</v>
      </c>
      <c r="W39" s="78">
        <f t="shared" si="5"/>
        <v>16</v>
      </c>
      <c r="X39" s="78">
        <f t="shared" si="5"/>
        <v>17</v>
      </c>
      <c r="Y39" s="78">
        <f t="shared" si="5"/>
        <v>18</v>
      </c>
      <c r="Z39" s="78">
        <f t="shared" si="5"/>
        <v>19</v>
      </c>
      <c r="AA39" s="78">
        <f t="shared" si="5"/>
        <v>20</v>
      </c>
      <c r="AB39" s="78">
        <f t="shared" si="5"/>
        <v>21</v>
      </c>
      <c r="AC39" s="78">
        <f t="shared" si="5"/>
        <v>22</v>
      </c>
      <c r="AD39" s="78">
        <f t="shared" si="5"/>
        <v>23</v>
      </c>
      <c r="AE39" s="78">
        <f t="shared" si="5"/>
        <v>24</v>
      </c>
      <c r="AF39" s="78">
        <f t="shared" si="5"/>
        <v>25</v>
      </c>
      <c r="AG39" s="78">
        <f t="shared" si="5"/>
        <v>26</v>
      </c>
      <c r="AH39" s="78">
        <f t="shared" si="5"/>
        <v>27</v>
      </c>
      <c r="AI39" s="78">
        <f t="shared" si="5"/>
        <v>28</v>
      </c>
      <c r="AJ39" s="78">
        <f t="shared" si="5"/>
        <v>29</v>
      </c>
      <c r="AK39" s="78">
        <f t="shared" si="5"/>
        <v>30</v>
      </c>
    </row>
    <row r="40" spans="1:37">
      <c r="B40" s="79" t="s">
        <v>412</v>
      </c>
      <c r="C40" s="79"/>
      <c r="D40" s="79"/>
      <c r="E40" s="79"/>
      <c r="F40" s="79"/>
      <c r="G40" s="79"/>
      <c r="H40" s="80">
        <f t="shared" ref="H40:AK40" si="6">1-$M$16</f>
        <v>0.95</v>
      </c>
      <c r="I40" s="80">
        <f t="shared" si="6"/>
        <v>0.95</v>
      </c>
      <c r="J40" s="80">
        <f t="shared" si="6"/>
        <v>0.95</v>
      </c>
      <c r="K40" s="80">
        <f t="shared" si="6"/>
        <v>0.95</v>
      </c>
      <c r="L40" s="80">
        <f t="shared" si="6"/>
        <v>0.95</v>
      </c>
      <c r="M40" s="80">
        <f t="shared" si="6"/>
        <v>0.95</v>
      </c>
      <c r="N40" s="80">
        <f t="shared" si="6"/>
        <v>0.95</v>
      </c>
      <c r="O40" s="80">
        <f t="shared" si="6"/>
        <v>0.95</v>
      </c>
      <c r="P40" s="80">
        <f t="shared" si="6"/>
        <v>0.95</v>
      </c>
      <c r="Q40" s="80">
        <f t="shared" si="6"/>
        <v>0.95</v>
      </c>
      <c r="R40" s="80">
        <f t="shared" si="6"/>
        <v>0.95</v>
      </c>
      <c r="S40" s="80">
        <f t="shared" si="6"/>
        <v>0.95</v>
      </c>
      <c r="T40" s="80">
        <f t="shared" si="6"/>
        <v>0.95</v>
      </c>
      <c r="U40" s="80">
        <f t="shared" si="6"/>
        <v>0.95</v>
      </c>
      <c r="V40" s="80">
        <f t="shared" si="6"/>
        <v>0.95</v>
      </c>
      <c r="W40" s="80">
        <f t="shared" si="6"/>
        <v>0.95</v>
      </c>
      <c r="X40" s="80">
        <f t="shared" si="6"/>
        <v>0.95</v>
      </c>
      <c r="Y40" s="80">
        <f t="shared" si="6"/>
        <v>0.95</v>
      </c>
      <c r="Z40" s="80">
        <f t="shared" si="6"/>
        <v>0.95</v>
      </c>
      <c r="AA40" s="80">
        <f t="shared" si="6"/>
        <v>0.95</v>
      </c>
      <c r="AB40" s="80">
        <f t="shared" si="6"/>
        <v>0.95</v>
      </c>
      <c r="AC40" s="80">
        <f t="shared" si="6"/>
        <v>0.95</v>
      </c>
      <c r="AD40" s="80">
        <f t="shared" si="6"/>
        <v>0.95</v>
      </c>
      <c r="AE40" s="80">
        <f t="shared" si="6"/>
        <v>0.95</v>
      </c>
      <c r="AF40" s="80">
        <f t="shared" si="6"/>
        <v>0.95</v>
      </c>
      <c r="AG40" s="80">
        <f t="shared" si="6"/>
        <v>0.95</v>
      </c>
      <c r="AH40" s="80">
        <f t="shared" si="6"/>
        <v>0.95</v>
      </c>
      <c r="AI40" s="80">
        <f t="shared" si="6"/>
        <v>0.95</v>
      </c>
      <c r="AJ40" s="80">
        <f t="shared" si="6"/>
        <v>0.95</v>
      </c>
      <c r="AK40" s="80">
        <f t="shared" si="6"/>
        <v>0.95</v>
      </c>
    </row>
    <row r="41" spans="1:37"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</row>
    <row r="42" spans="1:37">
      <c r="B42" s="58" t="s">
        <v>506</v>
      </c>
      <c r="G42" s="61">
        <f ca="1">-R30</f>
        <v>-164563047.34056529</v>
      </c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</row>
    <row r="44" spans="1:37">
      <c r="B44" s="79" t="s">
        <v>514</v>
      </c>
      <c r="G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</row>
    <row r="45" spans="1:37">
      <c r="B45" s="58" t="s">
        <v>515</v>
      </c>
      <c r="G45" s="61"/>
      <c r="H45" s="61">
        <f>SUM(G34:R34)</f>
        <v>462840</v>
      </c>
      <c r="I45" s="61">
        <f t="shared" ref="I45:AK45" si="7">$G$12*$G$17*$M$13*(1+$M$17)^H39*12</f>
        <v>1314499.7097119999</v>
      </c>
      <c r="J45" s="61">
        <f t="shared" si="7"/>
        <v>1353934.7010033599</v>
      </c>
      <c r="K45" s="61">
        <f t="shared" si="7"/>
        <v>1394552.7420334606</v>
      </c>
      <c r="L45" s="61">
        <f t="shared" si="7"/>
        <v>1436389.3242944644</v>
      </c>
      <c r="M45" s="61">
        <f t="shared" si="7"/>
        <v>1479481.0040232982</v>
      </c>
      <c r="N45" s="61">
        <f t="shared" si="7"/>
        <v>1523865.4341439973</v>
      </c>
      <c r="O45" s="61">
        <f t="shared" si="7"/>
        <v>1569581.3971683173</v>
      </c>
      <c r="P45" s="61">
        <f t="shared" si="7"/>
        <v>1616668.8390833668</v>
      </c>
      <c r="Q45" s="61">
        <f t="shared" si="7"/>
        <v>1665168.9042558679</v>
      </c>
      <c r="R45" s="61">
        <f t="shared" si="7"/>
        <v>1715123.9713835437</v>
      </c>
      <c r="S45" s="61">
        <f t="shared" si="7"/>
        <v>1766577.69052505</v>
      </c>
      <c r="T45" s="61">
        <f t="shared" si="7"/>
        <v>1819575.0212408011</v>
      </c>
      <c r="U45" s="61">
        <f t="shared" si="7"/>
        <v>1874162.2718780253</v>
      </c>
      <c r="V45" s="61">
        <f t="shared" si="7"/>
        <v>1930387.1400343662</v>
      </c>
      <c r="W45" s="61">
        <f t="shared" si="7"/>
        <v>1988298.7542353973</v>
      </c>
      <c r="X45" s="61">
        <f t="shared" si="7"/>
        <v>2047947.7168624587</v>
      </c>
      <c r="Y45" s="61">
        <f t="shared" si="7"/>
        <v>2109386.1483683325</v>
      </c>
      <c r="Z45" s="61">
        <f t="shared" si="7"/>
        <v>2172667.7328193826</v>
      </c>
      <c r="AA45" s="61">
        <f t="shared" si="7"/>
        <v>2237847.7648039642</v>
      </c>
      <c r="AB45" s="61">
        <f t="shared" si="7"/>
        <v>2304983.1977480827</v>
      </c>
      <c r="AC45" s="61">
        <f t="shared" si="7"/>
        <v>2374132.6936805253</v>
      </c>
      <c r="AD45" s="61">
        <f t="shared" si="7"/>
        <v>2445356.6744909408</v>
      </c>
      <c r="AE45" s="61">
        <f t="shared" si="7"/>
        <v>2518717.3747256696</v>
      </c>
      <c r="AF45" s="61">
        <f t="shared" si="7"/>
        <v>2594278.8959674393</v>
      </c>
      <c r="AG45" s="61">
        <f t="shared" si="7"/>
        <v>2672107.2628464624</v>
      </c>
      <c r="AH45" s="61">
        <f t="shared" si="7"/>
        <v>2752270.4807318565</v>
      </c>
      <c r="AI45" s="61">
        <f t="shared" si="7"/>
        <v>2834838.5951538119</v>
      </c>
      <c r="AJ45" s="61">
        <f t="shared" si="7"/>
        <v>2919883.7530084266</v>
      </c>
      <c r="AK45" s="61">
        <f t="shared" si="7"/>
        <v>3007480.265598679</v>
      </c>
    </row>
    <row r="46" spans="1:37">
      <c r="B46" s="58" t="s">
        <v>516</v>
      </c>
      <c r="G46" s="61"/>
      <c r="H46" s="61">
        <f>SUM(G35:R35)</f>
        <v>1239750</v>
      </c>
      <c r="I46" s="61">
        <f t="shared" ref="I46:AK46" si="8">$G$12*$G$18*$M$14*(1+$M$17)^H39*12</f>
        <v>3520981.3652999997</v>
      </c>
      <c r="J46" s="61">
        <f t="shared" si="8"/>
        <v>3626610.8062589997</v>
      </c>
      <c r="K46" s="61">
        <f t="shared" si="8"/>
        <v>3735409.1304467693</v>
      </c>
      <c r="L46" s="61">
        <f t="shared" si="8"/>
        <v>3847471.4043601728</v>
      </c>
      <c r="M46" s="61">
        <f t="shared" si="8"/>
        <v>3962895.5464909775</v>
      </c>
      <c r="N46" s="61">
        <f t="shared" si="8"/>
        <v>4081782.4128857069</v>
      </c>
      <c r="O46" s="61">
        <f t="shared" si="8"/>
        <v>4204235.8852722785</v>
      </c>
      <c r="P46" s="61">
        <f t="shared" si="8"/>
        <v>4330362.9618304465</v>
      </c>
      <c r="Q46" s="61">
        <f t="shared" si="8"/>
        <v>4460273.8506853599</v>
      </c>
      <c r="R46" s="61">
        <f t="shared" si="8"/>
        <v>4594082.0662059207</v>
      </c>
      <c r="S46" s="61">
        <f t="shared" si="8"/>
        <v>4731904.5281920983</v>
      </c>
      <c r="T46" s="61">
        <f t="shared" si="8"/>
        <v>4873861.6640378609</v>
      </c>
      <c r="U46" s="61">
        <f t="shared" si="8"/>
        <v>5020077.5139589962</v>
      </c>
      <c r="V46" s="61">
        <f t="shared" si="8"/>
        <v>5170679.8393777665</v>
      </c>
      <c r="W46" s="61">
        <f t="shared" si="8"/>
        <v>5325800.2345591001</v>
      </c>
      <c r="X46" s="61">
        <f t="shared" si="8"/>
        <v>5485574.2415958717</v>
      </c>
      <c r="Y46" s="61">
        <f t="shared" si="8"/>
        <v>5650141.4688437488</v>
      </c>
      <c r="Z46" s="61">
        <f t="shared" si="8"/>
        <v>5819645.7129090615</v>
      </c>
      <c r="AA46" s="61">
        <f t="shared" si="8"/>
        <v>5994235.0842963327</v>
      </c>
      <c r="AB46" s="61">
        <f t="shared" si="8"/>
        <v>6174062.1368252225</v>
      </c>
      <c r="AC46" s="61">
        <f t="shared" si="8"/>
        <v>6359284.0009299777</v>
      </c>
      <c r="AD46" s="61">
        <f t="shared" si="8"/>
        <v>6550062.5209578779</v>
      </c>
      <c r="AE46" s="61">
        <f t="shared" si="8"/>
        <v>6746564.3965866147</v>
      </c>
      <c r="AF46" s="61">
        <f t="shared" si="8"/>
        <v>6948961.328484213</v>
      </c>
      <c r="AG46" s="61">
        <f t="shared" si="8"/>
        <v>7157430.1683387384</v>
      </c>
      <c r="AH46" s="61">
        <f t="shared" si="8"/>
        <v>7372153.0733889025</v>
      </c>
      <c r="AI46" s="61">
        <f t="shared" si="8"/>
        <v>7593317.6655905675</v>
      </c>
      <c r="AJ46" s="61">
        <f t="shared" si="8"/>
        <v>7821117.1955582853</v>
      </c>
      <c r="AK46" s="61">
        <f t="shared" si="8"/>
        <v>8055750.7114250325</v>
      </c>
    </row>
    <row r="47" spans="1:37">
      <c r="B47" s="58" t="s">
        <v>517</v>
      </c>
      <c r="G47" s="61"/>
      <c r="H47" s="61">
        <f>SUM(G36:R36)</f>
        <v>843030</v>
      </c>
      <c r="I47" s="61">
        <f t="shared" ref="I47:AK47" si="9">$G$12*$G$19*$M$15*(1+$M$17)^H39*12</f>
        <v>2394267.328404</v>
      </c>
      <c r="J47" s="61">
        <f t="shared" si="9"/>
        <v>2466095.34825612</v>
      </c>
      <c r="K47" s="61">
        <f t="shared" si="9"/>
        <v>2540078.2087038034</v>
      </c>
      <c r="L47" s="61">
        <f t="shared" si="9"/>
        <v>2616280.5549649177</v>
      </c>
      <c r="M47" s="61">
        <f t="shared" si="9"/>
        <v>2694768.9716138644</v>
      </c>
      <c r="N47" s="61">
        <f t="shared" si="9"/>
        <v>2775612.040762281</v>
      </c>
      <c r="O47" s="61">
        <f t="shared" si="9"/>
        <v>2858880.4019851498</v>
      </c>
      <c r="P47" s="61">
        <f t="shared" si="9"/>
        <v>2944646.8140447037</v>
      </c>
      <c r="Q47" s="61">
        <f t="shared" si="9"/>
        <v>3032986.2184660449</v>
      </c>
      <c r="R47" s="61">
        <f t="shared" si="9"/>
        <v>3123975.8050200259</v>
      </c>
      <c r="S47" s="61">
        <f t="shared" si="9"/>
        <v>3217695.0791706275</v>
      </c>
      <c r="T47" s="61">
        <f t="shared" si="9"/>
        <v>3314225.9315457456</v>
      </c>
      <c r="U47" s="61">
        <f t="shared" si="9"/>
        <v>3413652.7094921172</v>
      </c>
      <c r="V47" s="61">
        <f t="shared" si="9"/>
        <v>3516062.2907768814</v>
      </c>
      <c r="W47" s="61">
        <f t="shared" si="9"/>
        <v>3621544.1595001882</v>
      </c>
      <c r="X47" s="61">
        <f t="shared" si="9"/>
        <v>3730190.4842851926</v>
      </c>
      <c r="Y47" s="61">
        <f t="shared" si="9"/>
        <v>3842096.1988137485</v>
      </c>
      <c r="Z47" s="61">
        <f t="shared" si="9"/>
        <v>3957359.0847781613</v>
      </c>
      <c r="AA47" s="61">
        <f t="shared" si="9"/>
        <v>4076079.8573215064</v>
      </c>
      <c r="AB47" s="61">
        <f t="shared" si="9"/>
        <v>4198362.253041151</v>
      </c>
      <c r="AC47" s="61">
        <f t="shared" si="9"/>
        <v>4324313.1206323849</v>
      </c>
      <c r="AD47" s="61">
        <f t="shared" si="9"/>
        <v>4454042.5142513569</v>
      </c>
      <c r="AE47" s="61">
        <f t="shared" si="9"/>
        <v>4587663.7896788977</v>
      </c>
      <c r="AF47" s="61">
        <f t="shared" si="9"/>
        <v>4725293.7033692645</v>
      </c>
      <c r="AG47" s="61">
        <f t="shared" si="9"/>
        <v>4867052.5144703425</v>
      </c>
      <c r="AH47" s="61">
        <f t="shared" si="9"/>
        <v>5013064.0899044536</v>
      </c>
      <c r="AI47" s="61">
        <f t="shared" si="9"/>
        <v>5163456.0126015861</v>
      </c>
      <c r="AJ47" s="61">
        <f t="shared" si="9"/>
        <v>5318359.6929796338</v>
      </c>
      <c r="AK47" s="61">
        <f t="shared" si="9"/>
        <v>5477910.4837690219</v>
      </c>
    </row>
    <row r="48" spans="1:37">
      <c r="B48" s="79" t="s">
        <v>518</v>
      </c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</row>
    <row r="49" spans="2:37">
      <c r="B49" s="58" t="s">
        <v>519</v>
      </c>
      <c r="G49" s="61"/>
      <c r="H49" s="61">
        <f t="shared" ref="H49:AK49" si="10">$G$20*$M$24*(1+$M$17)^G39</f>
        <v>486176.49919999996</v>
      </c>
      <c r="I49" s="61">
        <f t="shared" si="10"/>
        <v>500761.794176</v>
      </c>
      <c r="J49" s="61">
        <f t="shared" si="10"/>
        <v>515784.64800127991</v>
      </c>
      <c r="K49" s="61">
        <f t="shared" si="10"/>
        <v>531258.18744131841</v>
      </c>
      <c r="L49" s="61">
        <f t="shared" si="10"/>
        <v>547195.93306455784</v>
      </c>
      <c r="M49" s="61">
        <f t="shared" si="10"/>
        <v>563611.8110564946</v>
      </c>
      <c r="N49" s="61">
        <f t="shared" si="10"/>
        <v>580520.16538818949</v>
      </c>
      <c r="O49" s="61">
        <f t="shared" si="10"/>
        <v>597935.77034983516</v>
      </c>
      <c r="P49" s="61">
        <f t="shared" si="10"/>
        <v>615873.84346033016</v>
      </c>
      <c r="Q49" s="61">
        <f t="shared" si="10"/>
        <v>634350.05876414012</v>
      </c>
      <c r="R49" s="61">
        <f t="shared" si="10"/>
        <v>653380.56052706426</v>
      </c>
      <c r="S49" s="61">
        <f t="shared" si="10"/>
        <v>672981.97734287626</v>
      </c>
      <c r="T49" s="61">
        <f t="shared" si="10"/>
        <v>693171.43666316243</v>
      </c>
      <c r="U49" s="61">
        <f t="shared" si="10"/>
        <v>713966.57976305729</v>
      </c>
      <c r="V49" s="61">
        <f t="shared" si="10"/>
        <v>735385.57715594908</v>
      </c>
      <c r="W49" s="61">
        <f t="shared" si="10"/>
        <v>757447.14447062754</v>
      </c>
      <c r="X49" s="61">
        <f t="shared" si="10"/>
        <v>780170.55880474625</v>
      </c>
      <c r="Y49" s="61">
        <f t="shared" si="10"/>
        <v>803575.67556888866</v>
      </c>
      <c r="Z49" s="61">
        <f t="shared" si="10"/>
        <v>827682.94583595532</v>
      </c>
      <c r="AA49" s="61">
        <f t="shared" si="10"/>
        <v>852513.43421103398</v>
      </c>
      <c r="AB49" s="61">
        <f t="shared" si="10"/>
        <v>878088.83723736496</v>
      </c>
      <c r="AC49" s="61">
        <f t="shared" si="10"/>
        <v>904431.5023544858</v>
      </c>
      <c r="AD49" s="61">
        <f t="shared" si="10"/>
        <v>931564.44742512039</v>
      </c>
      <c r="AE49" s="61">
        <f t="shared" si="10"/>
        <v>959511.3808478741</v>
      </c>
      <c r="AF49" s="61">
        <f t="shared" si="10"/>
        <v>988296.72227331018</v>
      </c>
      <c r="AG49" s="61">
        <f t="shared" si="10"/>
        <v>1017945.6239415095</v>
      </c>
      <c r="AH49" s="61">
        <f t="shared" si="10"/>
        <v>1048483.9926597549</v>
      </c>
      <c r="AI49" s="61">
        <f t="shared" si="10"/>
        <v>1079938.5124395473</v>
      </c>
      <c r="AJ49" s="61">
        <f t="shared" si="10"/>
        <v>1112336.6678127339</v>
      </c>
      <c r="AK49" s="61">
        <f t="shared" si="10"/>
        <v>1145706.7678471156</v>
      </c>
    </row>
    <row r="50" spans="2:37">
      <c r="B50" s="76" t="s">
        <v>520</v>
      </c>
      <c r="C50" s="76"/>
      <c r="D50" s="76"/>
      <c r="E50" s="76"/>
      <c r="F50" s="76"/>
      <c r="G50" s="77"/>
      <c r="H50" s="77">
        <f t="shared" ref="H50:R50" si="11">SUM(H43:H49)</f>
        <v>3031796.4992</v>
      </c>
      <c r="I50" s="77">
        <f t="shared" si="11"/>
        <v>7730510.1975919995</v>
      </c>
      <c r="J50" s="77">
        <f t="shared" si="11"/>
        <v>7962425.5035197586</v>
      </c>
      <c r="K50" s="77">
        <f t="shared" si="11"/>
        <v>8201298.2686253516</v>
      </c>
      <c r="L50" s="77">
        <f t="shared" si="11"/>
        <v>8447337.2166841123</v>
      </c>
      <c r="M50" s="77">
        <f t="shared" si="11"/>
        <v>8700757.3331846334</v>
      </c>
      <c r="N50" s="77">
        <f t="shared" si="11"/>
        <v>8961780.0531801749</v>
      </c>
      <c r="O50" s="77">
        <f t="shared" si="11"/>
        <v>9230633.4547755811</v>
      </c>
      <c r="P50" s="77">
        <f t="shared" si="11"/>
        <v>9507552.458418848</v>
      </c>
      <c r="Q50" s="77">
        <f t="shared" si="11"/>
        <v>9792779.0321714133</v>
      </c>
      <c r="R50" s="77">
        <f t="shared" si="11"/>
        <v>10086562.403136555</v>
      </c>
      <c r="S50" s="77">
        <f t="shared" ref="S50:AK50" si="12">SUM(S43:S49)</f>
        <v>10389159.275230652</v>
      </c>
      <c r="T50" s="77">
        <f t="shared" si="12"/>
        <v>10700834.053487569</v>
      </c>
      <c r="U50" s="77">
        <f t="shared" si="12"/>
        <v>11021859.075092195</v>
      </c>
      <c r="V50" s="77">
        <f t="shared" si="12"/>
        <v>11352514.847344963</v>
      </c>
      <c r="W50" s="77">
        <f t="shared" si="12"/>
        <v>11693090.292765314</v>
      </c>
      <c r="X50" s="77">
        <f t="shared" si="12"/>
        <v>12043883.00154827</v>
      </c>
      <c r="Y50" s="77">
        <f t="shared" si="12"/>
        <v>12405199.491594719</v>
      </c>
      <c r="Z50" s="77">
        <f t="shared" si="12"/>
        <v>12777355.476342561</v>
      </c>
      <c r="AA50" s="77">
        <f t="shared" si="12"/>
        <v>13160676.140632838</v>
      </c>
      <c r="AB50" s="77">
        <f t="shared" si="12"/>
        <v>13555496.424851824</v>
      </c>
      <c r="AC50" s="77">
        <f t="shared" si="12"/>
        <v>13962161.317597372</v>
      </c>
      <c r="AD50" s="77">
        <f t="shared" si="12"/>
        <v>14381026.157125296</v>
      </c>
      <c r="AE50" s="77">
        <f t="shared" si="12"/>
        <v>14812456.941839058</v>
      </c>
      <c r="AF50" s="77">
        <f t="shared" si="12"/>
        <v>15256830.650094228</v>
      </c>
      <c r="AG50" s="77">
        <f t="shared" si="12"/>
        <v>15714535.569597052</v>
      </c>
      <c r="AH50" s="77">
        <f t="shared" si="12"/>
        <v>16185971.636684967</v>
      </c>
      <c r="AI50" s="77">
        <f t="shared" si="12"/>
        <v>16671550.785785513</v>
      </c>
      <c r="AJ50" s="77">
        <f t="shared" si="12"/>
        <v>17171697.309359081</v>
      </c>
      <c r="AK50" s="77">
        <f t="shared" si="12"/>
        <v>17686848.228639849</v>
      </c>
    </row>
    <row r="51" spans="2:37"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</row>
    <row r="52" spans="2:37">
      <c r="B52" s="70" t="s">
        <v>521</v>
      </c>
      <c r="C52" s="70"/>
      <c r="D52" s="70"/>
      <c r="E52" s="70"/>
      <c r="F52" s="70"/>
      <c r="G52" s="70"/>
      <c r="H52" s="72">
        <f t="shared" ref="H52:R52" si="13">-(1-H40)*SUM(H45:H47)</f>
        <v>-127281.00000000012</v>
      </c>
      <c r="I52" s="72">
        <f t="shared" si="13"/>
        <v>-361487.42017080029</v>
      </c>
      <c r="J52" s="72">
        <f t="shared" si="13"/>
        <v>-372332.04277592426</v>
      </c>
      <c r="K52" s="72">
        <f t="shared" si="13"/>
        <v>-383502.00405920198</v>
      </c>
      <c r="L52" s="72">
        <f t="shared" si="13"/>
        <v>-395007.06418097811</v>
      </c>
      <c r="M52" s="72">
        <f t="shared" si="13"/>
        <v>-406857.27610640734</v>
      </c>
      <c r="N52" s="72">
        <f t="shared" si="13"/>
        <v>-419062.99438959965</v>
      </c>
      <c r="O52" s="72">
        <f t="shared" si="13"/>
        <v>-431634.88422128762</v>
      </c>
      <c r="P52" s="72">
        <f t="shared" si="13"/>
        <v>-444583.93074792624</v>
      </c>
      <c r="Q52" s="72">
        <f t="shared" si="13"/>
        <v>-457921.44867036404</v>
      </c>
      <c r="R52" s="72">
        <f t="shared" si="13"/>
        <v>-471659.09213047498</v>
      </c>
      <c r="S52" s="72">
        <f t="shared" ref="S52:AK52" si="14">-(1-S40)*SUM(S45:S47)</f>
        <v>-485808.86489438923</v>
      </c>
      <c r="T52" s="72">
        <f t="shared" si="14"/>
        <v>-500383.13084122079</v>
      </c>
      <c r="U52" s="72">
        <f t="shared" si="14"/>
        <v>-515394.62476645736</v>
      </c>
      <c r="V52" s="72">
        <f t="shared" si="14"/>
        <v>-530856.46350945113</v>
      </c>
      <c r="W52" s="72">
        <f t="shared" si="14"/>
        <v>-546782.15741473471</v>
      </c>
      <c r="X52" s="72">
        <f t="shared" si="14"/>
        <v>-563185.62213717669</v>
      </c>
      <c r="Y52" s="72">
        <f t="shared" si="14"/>
        <v>-580081.19080129208</v>
      </c>
      <c r="Z52" s="72">
        <f t="shared" si="14"/>
        <v>-597483.62652533082</v>
      </c>
      <c r="AA52" s="72">
        <f t="shared" si="14"/>
        <v>-615408.1353210907</v>
      </c>
      <c r="AB52" s="72">
        <f t="shared" si="14"/>
        <v>-633870.37938072346</v>
      </c>
      <c r="AC52" s="72">
        <f t="shared" si="14"/>
        <v>-652886.49076214491</v>
      </c>
      <c r="AD52" s="72">
        <f t="shared" si="14"/>
        <v>-672473.08548500948</v>
      </c>
      <c r="AE52" s="72">
        <f t="shared" si="14"/>
        <v>-692647.2780495598</v>
      </c>
      <c r="AF52" s="72">
        <f t="shared" si="14"/>
        <v>-713426.69639104651</v>
      </c>
      <c r="AG52" s="72">
        <f t="shared" si="14"/>
        <v>-734829.4972827778</v>
      </c>
      <c r="AH52" s="72">
        <f t="shared" si="14"/>
        <v>-756874.38220126124</v>
      </c>
      <c r="AI52" s="72">
        <f t="shared" si="14"/>
        <v>-779580.61366729904</v>
      </c>
      <c r="AJ52" s="72">
        <f t="shared" si="14"/>
        <v>-802968.03207731806</v>
      </c>
      <c r="AK52" s="72">
        <f t="shared" si="14"/>
        <v>-827057.07303963741</v>
      </c>
    </row>
    <row r="53" spans="2:37">
      <c r="B53" s="58" t="s">
        <v>522</v>
      </c>
      <c r="H53" s="61">
        <f>SUM(H50:H52)</f>
        <v>2904515.4992</v>
      </c>
      <c r="I53" s="61">
        <f t="shared" ref="I53:AK53" si="15">SUM(I50:I52)</f>
        <v>7369022.7774211988</v>
      </c>
      <c r="J53" s="61">
        <f t="shared" si="15"/>
        <v>7590093.4607438343</v>
      </c>
      <c r="K53" s="61">
        <f t="shared" si="15"/>
        <v>7817796.2645661496</v>
      </c>
      <c r="L53" s="61">
        <f t="shared" si="15"/>
        <v>8052330.1525031347</v>
      </c>
      <c r="M53" s="61">
        <f t="shared" si="15"/>
        <v>8293900.0570782265</v>
      </c>
      <c r="N53" s="61">
        <f t="shared" si="15"/>
        <v>8542717.0587905757</v>
      </c>
      <c r="O53" s="61">
        <f t="shared" si="15"/>
        <v>8798998.5705542937</v>
      </c>
      <c r="P53" s="61">
        <f t="shared" si="15"/>
        <v>9062968.5276709218</v>
      </c>
      <c r="Q53" s="61">
        <f t="shared" si="15"/>
        <v>9334857.5835010484</v>
      </c>
      <c r="R53" s="61">
        <f t="shared" si="15"/>
        <v>9614903.3110060804</v>
      </c>
      <c r="S53" s="61">
        <f t="shared" si="15"/>
        <v>9903350.4103362616</v>
      </c>
      <c r="T53" s="61">
        <f t="shared" si="15"/>
        <v>10200450.922646347</v>
      </c>
      <c r="U53" s="61">
        <f t="shared" si="15"/>
        <v>10506464.450325737</v>
      </c>
      <c r="V53" s="61">
        <f t="shared" si="15"/>
        <v>10821658.383835511</v>
      </c>
      <c r="W53" s="61">
        <f t="shared" si="15"/>
        <v>11146308.135350579</v>
      </c>
      <c r="X53" s="61">
        <f t="shared" si="15"/>
        <v>11480697.379411094</v>
      </c>
      <c r="Y53" s="61">
        <f t="shared" si="15"/>
        <v>11825118.300793426</v>
      </c>
      <c r="Z53" s="61">
        <f t="shared" si="15"/>
        <v>12179871.849817229</v>
      </c>
      <c r="AA53" s="61">
        <f t="shared" si="15"/>
        <v>12545268.005311748</v>
      </c>
      <c r="AB53" s="61">
        <f t="shared" si="15"/>
        <v>12921626.0454711</v>
      </c>
      <c r="AC53" s="61">
        <f t="shared" si="15"/>
        <v>13309274.826835228</v>
      </c>
      <c r="AD53" s="61">
        <f t="shared" si="15"/>
        <v>13708553.071640287</v>
      </c>
      <c r="AE53" s="61">
        <f t="shared" si="15"/>
        <v>14119809.663789498</v>
      </c>
      <c r="AF53" s="61">
        <f t="shared" si="15"/>
        <v>14543403.953703182</v>
      </c>
      <c r="AG53" s="61">
        <f t="shared" si="15"/>
        <v>14979706.072314275</v>
      </c>
      <c r="AH53" s="61">
        <f t="shared" si="15"/>
        <v>15429097.254483705</v>
      </c>
      <c r="AI53" s="61">
        <f t="shared" si="15"/>
        <v>15891970.172118213</v>
      </c>
      <c r="AJ53" s="61">
        <f t="shared" si="15"/>
        <v>16368729.277281763</v>
      </c>
      <c r="AK53" s="61">
        <f t="shared" si="15"/>
        <v>16859791.155600213</v>
      </c>
    </row>
    <row r="55" spans="2:37">
      <c r="B55" s="58" t="s">
        <v>413</v>
      </c>
      <c r="H55" s="61">
        <f>-($M$20*H53)*(1+$M$21)^G39</f>
        <v>-871354.64975999994</v>
      </c>
      <c r="I55" s="61">
        <f t="shared" ref="I55:AK55" si="16">-($M$20*I53)*(1+$M$21)^H39</f>
        <v>-2254920.9698908865</v>
      </c>
      <c r="J55" s="61">
        <f t="shared" si="16"/>
        <v>-2369019.9709673654</v>
      </c>
      <c r="K55" s="61">
        <f t="shared" si="16"/>
        <v>-2488892.381498314</v>
      </c>
      <c r="L55" s="61">
        <f t="shared" si="16"/>
        <v>-2614830.3360021291</v>
      </c>
      <c r="M55" s="61">
        <f t="shared" si="16"/>
        <v>-2747140.7510038363</v>
      </c>
      <c r="N55" s="61">
        <f t="shared" si="16"/>
        <v>-2886146.0730046313</v>
      </c>
      <c r="O55" s="61">
        <f t="shared" si="16"/>
        <v>-3032185.0642986652</v>
      </c>
      <c r="P55" s="61">
        <f t="shared" si="16"/>
        <v>-3185613.6285521779</v>
      </c>
      <c r="Q55" s="61">
        <f t="shared" si="16"/>
        <v>-3346805.6781569179</v>
      </c>
      <c r="R55" s="61">
        <f t="shared" si="16"/>
        <v>-3516154.045471658</v>
      </c>
      <c r="S55" s="61">
        <f t="shared" si="16"/>
        <v>-3694071.4401725223</v>
      </c>
      <c r="T55" s="61">
        <f t="shared" si="16"/>
        <v>-3880991.4550452521</v>
      </c>
      <c r="U55" s="61">
        <f t="shared" si="16"/>
        <v>-4077369.6226705411</v>
      </c>
      <c r="V55" s="61">
        <f t="shared" si="16"/>
        <v>-4283684.5255776718</v>
      </c>
      <c r="W55" s="61">
        <f t="shared" si="16"/>
        <v>-4500438.9625719022</v>
      </c>
      <c r="X55" s="61">
        <f t="shared" si="16"/>
        <v>-4728161.1740780398</v>
      </c>
      <c r="Y55" s="61">
        <f t="shared" si="16"/>
        <v>-4967406.1294863885</v>
      </c>
      <c r="Z55" s="61">
        <f t="shared" si="16"/>
        <v>-5218756.8796383999</v>
      </c>
      <c r="AA55" s="61">
        <f t="shared" si="16"/>
        <v>-5482825.9777481034</v>
      </c>
      <c r="AB55" s="61">
        <f t="shared" si="16"/>
        <v>-5760256.9722221578</v>
      </c>
      <c r="AC55" s="61">
        <f t="shared" si="16"/>
        <v>-6051725.9750165967</v>
      </c>
      <c r="AD55" s="61">
        <f t="shared" si="16"/>
        <v>-6357943.309352437</v>
      </c>
      <c r="AE55" s="61">
        <f t="shared" si="16"/>
        <v>-6679655.2408056697</v>
      </c>
      <c r="AF55" s="61">
        <f t="shared" si="16"/>
        <v>-7017645.7959904382</v>
      </c>
      <c r="AG55" s="61">
        <f t="shared" si="16"/>
        <v>-7372738.6732675536</v>
      </c>
      <c r="AH55" s="61">
        <f t="shared" si="16"/>
        <v>-7745799.2501348928</v>
      </c>
      <c r="AI55" s="61">
        <f t="shared" si="16"/>
        <v>-8137736.6921917144</v>
      </c>
      <c r="AJ55" s="61">
        <f t="shared" si="16"/>
        <v>-8549506.1688166186</v>
      </c>
      <c r="AK55" s="61">
        <f t="shared" si="16"/>
        <v>-8982111.1809587367</v>
      </c>
    </row>
    <row r="56" spans="2:37">
      <c r="B56" s="58" t="s">
        <v>728</v>
      </c>
      <c r="H56" s="61">
        <f>-($M$22*H50)*(1+$M$21)^G39</f>
        <v>-181907.78995199999</v>
      </c>
      <c r="I56" s="61">
        <f t="shared" ref="I56:AK56" si="17">-($M$22*I50)*(1+$M$21)^H39</f>
        <v>-473107.22409263032</v>
      </c>
      <c r="J56" s="61">
        <f t="shared" si="17"/>
        <v>-497046.44963171741</v>
      </c>
      <c r="K56" s="61">
        <f t="shared" si="17"/>
        <v>-522196.99998308229</v>
      </c>
      <c r="L56" s="61">
        <f t="shared" si="17"/>
        <v>-548620.16818222625</v>
      </c>
      <c r="M56" s="61">
        <f t="shared" si="17"/>
        <v>-576380.34869224683</v>
      </c>
      <c r="N56" s="61">
        <f t="shared" si="17"/>
        <v>-605545.19433607464</v>
      </c>
      <c r="O56" s="61">
        <f t="shared" si="17"/>
        <v>-636185.78116948006</v>
      </c>
      <c r="P56" s="61">
        <f t="shared" si="17"/>
        <v>-668376.78169665567</v>
      </c>
      <c r="Q56" s="61">
        <f t="shared" si="17"/>
        <v>-702196.64685050643</v>
      </c>
      <c r="R56" s="61">
        <f t="shared" si="17"/>
        <v>-737727.79718114203</v>
      </c>
      <c r="S56" s="61">
        <f t="shared" si="17"/>
        <v>-775056.82371850766</v>
      </c>
      <c r="T56" s="61">
        <f t="shared" si="17"/>
        <v>-814274.69899866427</v>
      </c>
      <c r="U56" s="61">
        <f t="shared" si="17"/>
        <v>-855476.99876799644</v>
      </c>
      <c r="V56" s="61">
        <f t="shared" si="17"/>
        <v>-898764.13490565738</v>
      </c>
      <c r="W56" s="61">
        <f t="shared" si="17"/>
        <v>-944241.6001318834</v>
      </c>
      <c r="X56" s="61">
        <f t="shared" si="17"/>
        <v>-992020.22509855661</v>
      </c>
      <c r="Y56" s="61">
        <f t="shared" si="17"/>
        <v>-1042216.4484885437</v>
      </c>
      <c r="Z56" s="61">
        <f t="shared" si="17"/>
        <v>-1094952.600782064</v>
      </c>
      <c r="AA56" s="61">
        <f t="shared" si="17"/>
        <v>-1150357.2023816365</v>
      </c>
      <c r="AB56" s="61">
        <f t="shared" si="17"/>
        <v>-1208565.2768221474</v>
      </c>
      <c r="AC56" s="61">
        <f t="shared" si="17"/>
        <v>-1269718.6798293474</v>
      </c>
      <c r="AD56" s="61">
        <f t="shared" si="17"/>
        <v>-1333966.4450287127</v>
      </c>
      <c r="AE56" s="61">
        <f t="shared" si="17"/>
        <v>-1401465.1471471656</v>
      </c>
      <c r="AF56" s="61">
        <f t="shared" si="17"/>
        <v>-1472379.283592812</v>
      </c>
      <c r="AG56" s="61">
        <f t="shared" si="17"/>
        <v>-1546881.675342608</v>
      </c>
      <c r="AH56" s="61">
        <f t="shared" si="17"/>
        <v>-1625153.8881149446</v>
      </c>
      <c r="AI56" s="61">
        <f t="shared" si="17"/>
        <v>-1707386.67485356</v>
      </c>
      <c r="AJ56" s="61">
        <f t="shared" si="17"/>
        <v>-1793780.440601151</v>
      </c>
      <c r="AK56" s="61">
        <f t="shared" si="17"/>
        <v>-1884545.7308955686</v>
      </c>
    </row>
    <row r="57" spans="2:37">
      <c r="B57" s="58" t="s">
        <v>523</v>
      </c>
      <c r="H57" s="61">
        <f t="shared" ref="H57:AK57" si="18">-H53*$M$23</f>
        <v>-58090.309984</v>
      </c>
      <c r="I57" s="61">
        <f t="shared" si="18"/>
        <v>-147380.45554842398</v>
      </c>
      <c r="J57" s="61">
        <f t="shared" si="18"/>
        <v>-151801.8692148767</v>
      </c>
      <c r="K57" s="61">
        <f t="shared" si="18"/>
        <v>-156355.92529132299</v>
      </c>
      <c r="L57" s="61">
        <f t="shared" si="18"/>
        <v>-161046.60305006269</v>
      </c>
      <c r="M57" s="61">
        <f t="shared" si="18"/>
        <v>-165878.00114156454</v>
      </c>
      <c r="N57" s="61">
        <f t="shared" si="18"/>
        <v>-170854.34117581151</v>
      </c>
      <c r="O57" s="61">
        <f t="shared" si="18"/>
        <v>-175979.97141108589</v>
      </c>
      <c r="P57" s="61">
        <f t="shared" si="18"/>
        <v>-181259.37055341844</v>
      </c>
      <c r="Q57" s="61">
        <f t="shared" si="18"/>
        <v>-186697.15167002098</v>
      </c>
      <c r="R57" s="61">
        <f t="shared" si="18"/>
        <v>-192298.0662201216</v>
      </c>
      <c r="S57" s="61">
        <f t="shared" si="18"/>
        <v>-198067.00820672524</v>
      </c>
      <c r="T57" s="61">
        <f t="shared" si="18"/>
        <v>-204009.01845292695</v>
      </c>
      <c r="U57" s="61">
        <f t="shared" si="18"/>
        <v>-210129.28900651474</v>
      </c>
      <c r="V57" s="61">
        <f t="shared" si="18"/>
        <v>-216433.16767671023</v>
      </c>
      <c r="W57" s="61">
        <f t="shared" si="18"/>
        <v>-222926.16270701159</v>
      </c>
      <c r="X57" s="61">
        <f t="shared" si="18"/>
        <v>-229613.94758822187</v>
      </c>
      <c r="Y57" s="61">
        <f t="shared" si="18"/>
        <v>-236502.36601586852</v>
      </c>
      <c r="Z57" s="61">
        <f t="shared" si="18"/>
        <v>-243597.43699634459</v>
      </c>
      <c r="AA57" s="61">
        <f t="shared" si="18"/>
        <v>-250905.36010623496</v>
      </c>
      <c r="AB57" s="61">
        <f t="shared" si="18"/>
        <v>-258432.52090942202</v>
      </c>
      <c r="AC57" s="61">
        <f t="shared" si="18"/>
        <v>-266185.4965367046</v>
      </c>
      <c r="AD57" s="61">
        <f t="shared" si="18"/>
        <v>-274171.06143280573</v>
      </c>
      <c r="AE57" s="61">
        <f t="shared" si="18"/>
        <v>-282396.19327578996</v>
      </c>
      <c r="AF57" s="61">
        <f t="shared" si="18"/>
        <v>-290868.07907406363</v>
      </c>
      <c r="AG57" s="61">
        <f t="shared" si="18"/>
        <v>-299594.12144628551</v>
      </c>
      <c r="AH57" s="61">
        <f t="shared" si="18"/>
        <v>-308581.94508967409</v>
      </c>
      <c r="AI57" s="61">
        <f t="shared" si="18"/>
        <v>-317839.40344236424</v>
      </c>
      <c r="AJ57" s="61">
        <f t="shared" si="18"/>
        <v>-327374.58554563526</v>
      </c>
      <c r="AK57" s="61">
        <f t="shared" si="18"/>
        <v>-337195.82311200426</v>
      </c>
    </row>
    <row r="58" spans="2:37">
      <c r="B58" s="76" t="s">
        <v>524</v>
      </c>
      <c r="C58" s="76"/>
      <c r="D58" s="76"/>
      <c r="E58" s="76"/>
      <c r="F58" s="76"/>
      <c r="G58" s="76"/>
      <c r="H58" s="77">
        <f t="shared" ref="H58:R58" si="19">SUM(H53:H57)</f>
        <v>1793162.7495040002</v>
      </c>
      <c r="I58" s="77">
        <f t="shared" si="19"/>
        <v>4493614.1278892569</v>
      </c>
      <c r="J58" s="77">
        <f t="shared" si="19"/>
        <v>4572225.1709298752</v>
      </c>
      <c r="K58" s="77">
        <f t="shared" si="19"/>
        <v>4650350.9577934295</v>
      </c>
      <c r="L58" s="77">
        <f t="shared" si="19"/>
        <v>4727833.0452687172</v>
      </c>
      <c r="M58" s="77">
        <f t="shared" si="19"/>
        <v>4804500.9562405786</v>
      </c>
      <c r="N58" s="77">
        <f t="shared" si="19"/>
        <v>4880171.4502740586</v>
      </c>
      <c r="O58" s="77">
        <f t="shared" si="19"/>
        <v>4954647.7536750631</v>
      </c>
      <c r="P58" s="77">
        <f t="shared" si="19"/>
        <v>5027718.74686867</v>
      </c>
      <c r="Q58" s="77">
        <f t="shared" si="19"/>
        <v>5099158.1068236027</v>
      </c>
      <c r="R58" s="77">
        <f t="shared" si="19"/>
        <v>5168723.4021331593</v>
      </c>
      <c r="S58" s="77">
        <f t="shared" ref="S58:AK58" si="20">SUM(S53:S57)</f>
        <v>5236155.1382385064</v>
      </c>
      <c r="T58" s="77">
        <f t="shared" si="20"/>
        <v>5301175.7501495043</v>
      </c>
      <c r="U58" s="77">
        <f t="shared" si="20"/>
        <v>5363488.5398806855</v>
      </c>
      <c r="V58" s="77">
        <f t="shared" si="20"/>
        <v>5422776.5556754712</v>
      </c>
      <c r="W58" s="77">
        <f t="shared" si="20"/>
        <v>5478701.4099397827</v>
      </c>
      <c r="X58" s="77">
        <f t="shared" si="20"/>
        <v>5530902.0326462751</v>
      </c>
      <c r="Y58" s="77">
        <f t="shared" si="20"/>
        <v>5578993.3568026256</v>
      </c>
      <c r="Z58" s="77">
        <f t="shared" si="20"/>
        <v>5622564.9324004212</v>
      </c>
      <c r="AA58" s="77">
        <f t="shared" si="20"/>
        <v>5661179.4650757723</v>
      </c>
      <c r="AB58" s="77">
        <f t="shared" si="20"/>
        <v>5694371.2755173733</v>
      </c>
      <c r="AC58" s="77">
        <f t="shared" si="20"/>
        <v>5721644.6754525797</v>
      </c>
      <c r="AD58" s="77">
        <f t="shared" si="20"/>
        <v>5742472.2558263307</v>
      </c>
      <c r="AE58" s="77">
        <f t="shared" si="20"/>
        <v>5756293.0825608727</v>
      </c>
      <c r="AF58" s="77">
        <f t="shared" si="20"/>
        <v>5762510.7950458685</v>
      </c>
      <c r="AG58" s="77">
        <f t="shared" si="20"/>
        <v>5760491.6022578282</v>
      </c>
      <c r="AH58" s="77">
        <f t="shared" si="20"/>
        <v>5749562.1711441949</v>
      </c>
      <c r="AI58" s="77">
        <f t="shared" si="20"/>
        <v>5729007.4016305748</v>
      </c>
      <c r="AJ58" s="77">
        <f t="shared" si="20"/>
        <v>5698068.0823183581</v>
      </c>
      <c r="AK58" s="77">
        <f t="shared" si="20"/>
        <v>5655938.4206339028</v>
      </c>
    </row>
    <row r="60" spans="2:37">
      <c r="B60" s="58" t="s">
        <v>525</v>
      </c>
      <c r="H60" s="61">
        <f t="shared" ref="H60:AK60" si="21">IF(H39=$M$26,I58/$M$28,0)</f>
        <v>0</v>
      </c>
      <c r="I60" s="61">
        <f t="shared" si="21"/>
        <v>0</v>
      </c>
      <c r="J60" s="61">
        <f t="shared" si="21"/>
        <v>0</v>
      </c>
      <c r="K60" s="61">
        <f t="shared" si="21"/>
        <v>0</v>
      </c>
      <c r="L60" s="61">
        <f t="shared" si="21"/>
        <v>0</v>
      </c>
      <c r="M60" s="61">
        <f t="shared" si="21"/>
        <v>0</v>
      </c>
      <c r="N60" s="61">
        <f t="shared" si="21"/>
        <v>0</v>
      </c>
      <c r="O60" s="61">
        <f t="shared" si="21"/>
        <v>0</v>
      </c>
      <c r="P60" s="61">
        <f t="shared" si="21"/>
        <v>0</v>
      </c>
      <c r="Q60" s="61">
        <f t="shared" si="21"/>
        <v>92298632.180949271</v>
      </c>
      <c r="R60" s="61">
        <f t="shared" si="21"/>
        <v>0</v>
      </c>
      <c r="S60" s="61">
        <f t="shared" si="21"/>
        <v>0</v>
      </c>
      <c r="T60" s="61">
        <f t="shared" si="21"/>
        <v>0</v>
      </c>
      <c r="U60" s="61">
        <f t="shared" si="21"/>
        <v>0</v>
      </c>
      <c r="V60" s="61">
        <f t="shared" si="21"/>
        <v>0</v>
      </c>
      <c r="W60" s="61">
        <f t="shared" si="21"/>
        <v>0</v>
      </c>
      <c r="X60" s="61">
        <f t="shared" si="21"/>
        <v>0</v>
      </c>
      <c r="Y60" s="61">
        <f t="shared" si="21"/>
        <v>0</v>
      </c>
      <c r="Z60" s="61">
        <f t="shared" si="21"/>
        <v>0</v>
      </c>
      <c r="AA60" s="61">
        <f t="shared" si="21"/>
        <v>0</v>
      </c>
      <c r="AB60" s="61">
        <f t="shared" si="21"/>
        <v>0</v>
      </c>
      <c r="AC60" s="61">
        <f t="shared" si="21"/>
        <v>0</v>
      </c>
      <c r="AD60" s="61">
        <f t="shared" si="21"/>
        <v>0</v>
      </c>
      <c r="AE60" s="61">
        <f t="shared" si="21"/>
        <v>0</v>
      </c>
      <c r="AF60" s="61">
        <f t="shared" si="21"/>
        <v>0</v>
      </c>
      <c r="AG60" s="61">
        <f t="shared" si="21"/>
        <v>0</v>
      </c>
      <c r="AH60" s="61">
        <f t="shared" si="21"/>
        <v>0</v>
      </c>
      <c r="AI60" s="61">
        <f t="shared" si="21"/>
        <v>0</v>
      </c>
      <c r="AJ60" s="61">
        <f t="shared" si="21"/>
        <v>0</v>
      </c>
      <c r="AK60" s="61">
        <f t="shared" si="21"/>
        <v>0</v>
      </c>
    </row>
    <row r="61" spans="2:37">
      <c r="B61" s="70" t="s">
        <v>393</v>
      </c>
      <c r="C61" s="70"/>
      <c r="D61" s="70"/>
      <c r="E61" s="70"/>
      <c r="F61" s="70"/>
      <c r="G61" s="70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</row>
    <row r="62" spans="2:37" s="100" customFormat="1">
      <c r="B62" s="100" t="s">
        <v>526</v>
      </c>
      <c r="G62" s="101">
        <f t="shared" ref="G62:AK62" ca="1" si="22">IF(G39&lt;=$M$26,SUM(G58,G60:G61,G42),0)</f>
        <v>-164563047.34056529</v>
      </c>
      <c r="H62" s="101">
        <f t="shared" si="22"/>
        <v>1793162.7495040002</v>
      </c>
      <c r="I62" s="101">
        <f t="shared" si="22"/>
        <v>4493614.1278892569</v>
      </c>
      <c r="J62" s="101">
        <f t="shared" si="22"/>
        <v>4572225.1709298752</v>
      </c>
      <c r="K62" s="101">
        <f t="shared" si="22"/>
        <v>4650350.9577934295</v>
      </c>
      <c r="L62" s="101">
        <f t="shared" si="22"/>
        <v>4727833.0452687172</v>
      </c>
      <c r="M62" s="101">
        <f t="shared" si="22"/>
        <v>4804500.9562405786</v>
      </c>
      <c r="N62" s="101">
        <f t="shared" si="22"/>
        <v>4880171.4502740586</v>
      </c>
      <c r="O62" s="101">
        <f t="shared" si="22"/>
        <v>4954647.7536750631</v>
      </c>
      <c r="P62" s="101">
        <f t="shared" si="22"/>
        <v>5027718.74686867</v>
      </c>
      <c r="Q62" s="101">
        <f t="shared" si="22"/>
        <v>97397790.287772879</v>
      </c>
      <c r="R62" s="101">
        <f t="shared" si="22"/>
        <v>0</v>
      </c>
      <c r="S62" s="101">
        <f t="shared" si="22"/>
        <v>0</v>
      </c>
      <c r="T62" s="101">
        <f t="shared" si="22"/>
        <v>0</v>
      </c>
      <c r="U62" s="101">
        <f t="shared" si="22"/>
        <v>0</v>
      </c>
      <c r="V62" s="101">
        <f t="shared" si="22"/>
        <v>0</v>
      </c>
      <c r="W62" s="101">
        <f t="shared" si="22"/>
        <v>0</v>
      </c>
      <c r="X62" s="101">
        <f t="shared" si="22"/>
        <v>0</v>
      </c>
      <c r="Y62" s="101">
        <f t="shared" si="22"/>
        <v>0</v>
      </c>
      <c r="Z62" s="101">
        <f t="shared" si="22"/>
        <v>0</v>
      </c>
      <c r="AA62" s="101">
        <f t="shared" si="22"/>
        <v>0</v>
      </c>
      <c r="AB62" s="101">
        <f t="shared" si="22"/>
        <v>0</v>
      </c>
      <c r="AC62" s="101">
        <f t="shared" si="22"/>
        <v>0</v>
      </c>
      <c r="AD62" s="101">
        <f t="shared" si="22"/>
        <v>0</v>
      </c>
      <c r="AE62" s="101">
        <f t="shared" si="22"/>
        <v>0</v>
      </c>
      <c r="AF62" s="101">
        <f t="shared" si="22"/>
        <v>0</v>
      </c>
      <c r="AG62" s="101">
        <f t="shared" si="22"/>
        <v>0</v>
      </c>
      <c r="AH62" s="101">
        <f t="shared" si="22"/>
        <v>0</v>
      </c>
      <c r="AI62" s="101">
        <f t="shared" si="22"/>
        <v>0</v>
      </c>
      <c r="AJ62" s="101">
        <f t="shared" si="22"/>
        <v>0</v>
      </c>
      <c r="AK62" s="101">
        <f t="shared" si="22"/>
        <v>0</v>
      </c>
    </row>
    <row r="63" spans="2:37" ht="16.2" thickBot="1"/>
    <row r="64" spans="2:37">
      <c r="B64" s="81" t="s">
        <v>527</v>
      </c>
      <c r="C64" s="82"/>
      <c r="D64" s="82"/>
      <c r="E64" s="82"/>
      <c r="F64" s="83">
        <f ca="1">SUM(G62:R62)</f>
        <v>-27261032.094348818</v>
      </c>
    </row>
    <row r="65" spans="2:37">
      <c r="B65" s="84" t="s">
        <v>528</v>
      </c>
      <c r="F65" s="85">
        <f>NPV(M27,H62:R62)</f>
        <v>71959455.060985923</v>
      </c>
    </row>
    <row r="66" spans="2:37">
      <c r="B66" s="84" t="s">
        <v>529</v>
      </c>
      <c r="F66" s="85">
        <f ca="1">F65+G62</f>
        <v>-92603592.279579371</v>
      </c>
      <c r="G66" s="65"/>
    </row>
    <row r="67" spans="2:37">
      <c r="B67" s="84" t="s">
        <v>530</v>
      </c>
      <c r="F67" s="86">
        <f ca="1">IRR(G62:R62)</f>
        <v>-2.0558877071980564E-2</v>
      </c>
    </row>
    <row r="68" spans="2:37" ht="16.2" thickBot="1">
      <c r="B68" s="87" t="s">
        <v>531</v>
      </c>
      <c r="C68" s="88"/>
      <c r="D68" s="88"/>
      <c r="E68" s="88"/>
      <c r="F68" s="89">
        <f ca="1">(F64/-G62)+1</f>
        <v>0.83434293096230916</v>
      </c>
    </row>
    <row r="70" spans="2:37">
      <c r="B70" s="58" t="s">
        <v>532</v>
      </c>
      <c r="G70" s="61">
        <f ca="1">R24</f>
        <v>115194133.1383957</v>
      </c>
    </row>
    <row r="71" spans="2:37">
      <c r="B71" s="58" t="s">
        <v>533</v>
      </c>
      <c r="H71" s="65">
        <f t="shared" ref="H71:AK71" si="23">IF(H39=$M$26,FV($R$13/12,H39*12,$R$15,$R$12,0),0)</f>
        <v>0</v>
      </c>
      <c r="I71" s="65">
        <f t="shared" si="23"/>
        <v>0</v>
      </c>
      <c r="J71" s="65">
        <f t="shared" si="23"/>
        <v>0</v>
      </c>
      <c r="K71" s="65">
        <f t="shared" si="23"/>
        <v>0</v>
      </c>
      <c r="L71" s="65">
        <f t="shared" si="23"/>
        <v>0</v>
      </c>
      <c r="M71" s="65">
        <f t="shared" si="23"/>
        <v>0</v>
      </c>
      <c r="N71" s="65">
        <f t="shared" si="23"/>
        <v>0</v>
      </c>
      <c r="O71" s="61">
        <f t="shared" si="23"/>
        <v>0</v>
      </c>
      <c r="P71" s="65">
        <f t="shared" si="23"/>
        <v>0</v>
      </c>
      <c r="Q71" s="61">
        <f t="shared" ca="1" si="23"/>
        <v>-73280872.96757488</v>
      </c>
      <c r="R71" s="65">
        <f t="shared" si="23"/>
        <v>0</v>
      </c>
      <c r="S71" s="65">
        <f t="shared" si="23"/>
        <v>0</v>
      </c>
      <c r="T71" s="65">
        <f t="shared" si="23"/>
        <v>0</v>
      </c>
      <c r="U71" s="65">
        <f t="shared" si="23"/>
        <v>0</v>
      </c>
      <c r="V71" s="65">
        <f t="shared" si="23"/>
        <v>0</v>
      </c>
      <c r="W71" s="65">
        <f t="shared" si="23"/>
        <v>0</v>
      </c>
      <c r="X71" s="65">
        <f t="shared" si="23"/>
        <v>0</v>
      </c>
      <c r="Y71" s="65">
        <f t="shared" si="23"/>
        <v>0</v>
      </c>
      <c r="Z71" s="65">
        <f t="shared" si="23"/>
        <v>0</v>
      </c>
      <c r="AA71" s="65">
        <f t="shared" si="23"/>
        <v>0</v>
      </c>
      <c r="AB71" s="65">
        <f t="shared" si="23"/>
        <v>0</v>
      </c>
      <c r="AC71" s="65">
        <f t="shared" si="23"/>
        <v>0</v>
      </c>
      <c r="AD71" s="65">
        <f t="shared" si="23"/>
        <v>0</v>
      </c>
      <c r="AE71" s="65">
        <f t="shared" si="23"/>
        <v>0</v>
      </c>
      <c r="AF71" s="65">
        <f t="shared" si="23"/>
        <v>0</v>
      </c>
      <c r="AG71" s="65">
        <f t="shared" si="23"/>
        <v>0</v>
      </c>
      <c r="AH71" s="65">
        <f t="shared" si="23"/>
        <v>0</v>
      </c>
      <c r="AI71" s="65">
        <f t="shared" si="23"/>
        <v>0</v>
      </c>
      <c r="AJ71" s="65">
        <f t="shared" si="23"/>
        <v>0</v>
      </c>
      <c r="AK71" s="65">
        <f t="shared" si="23"/>
        <v>0</v>
      </c>
    </row>
    <row r="72" spans="2:37">
      <c r="B72" s="58" t="s">
        <v>534</v>
      </c>
      <c r="H72" s="61">
        <f t="shared" ref="H72:AK72" ca="1" si="24">IF(H39&lt;=$M$26,$R$15*12,0)</f>
        <v>-9587112.5785178579</v>
      </c>
      <c r="I72" s="61">
        <f t="shared" ca="1" si="24"/>
        <v>-9587112.5785178579</v>
      </c>
      <c r="J72" s="61">
        <f t="shared" ca="1" si="24"/>
        <v>-9587112.5785178579</v>
      </c>
      <c r="K72" s="61">
        <f t="shared" ca="1" si="24"/>
        <v>-9587112.5785178579</v>
      </c>
      <c r="L72" s="61">
        <f t="shared" ca="1" si="24"/>
        <v>-9587112.5785178579</v>
      </c>
      <c r="M72" s="61">
        <f t="shared" ca="1" si="24"/>
        <v>-9587112.5785178579</v>
      </c>
      <c r="N72" s="61">
        <f t="shared" ca="1" si="24"/>
        <v>-9587112.5785178579</v>
      </c>
      <c r="O72" s="61">
        <f t="shared" ca="1" si="24"/>
        <v>-9587112.5785178579</v>
      </c>
      <c r="P72" s="61">
        <f t="shared" ca="1" si="24"/>
        <v>-9587112.5785178579</v>
      </c>
      <c r="Q72" s="61">
        <f t="shared" ca="1" si="24"/>
        <v>-9587112.5785178579</v>
      </c>
      <c r="R72" s="61">
        <f t="shared" si="24"/>
        <v>0</v>
      </c>
      <c r="S72" s="61">
        <f t="shared" si="24"/>
        <v>0</v>
      </c>
      <c r="T72" s="61">
        <f t="shared" si="24"/>
        <v>0</v>
      </c>
      <c r="U72" s="61">
        <f t="shared" si="24"/>
        <v>0</v>
      </c>
      <c r="V72" s="61">
        <f t="shared" si="24"/>
        <v>0</v>
      </c>
      <c r="W72" s="61">
        <f t="shared" si="24"/>
        <v>0</v>
      </c>
      <c r="X72" s="61">
        <f t="shared" si="24"/>
        <v>0</v>
      </c>
      <c r="Y72" s="61">
        <f t="shared" si="24"/>
        <v>0</v>
      </c>
      <c r="Z72" s="61">
        <f t="shared" si="24"/>
        <v>0</v>
      </c>
      <c r="AA72" s="61">
        <f t="shared" si="24"/>
        <v>0</v>
      </c>
      <c r="AB72" s="61">
        <f t="shared" si="24"/>
        <v>0</v>
      </c>
      <c r="AC72" s="61">
        <f t="shared" si="24"/>
        <v>0</v>
      </c>
      <c r="AD72" s="61">
        <f t="shared" si="24"/>
        <v>0</v>
      </c>
      <c r="AE72" s="61">
        <f t="shared" si="24"/>
        <v>0</v>
      </c>
      <c r="AF72" s="61">
        <f t="shared" si="24"/>
        <v>0</v>
      </c>
      <c r="AG72" s="61">
        <f t="shared" si="24"/>
        <v>0</v>
      </c>
      <c r="AH72" s="61">
        <f t="shared" si="24"/>
        <v>0</v>
      </c>
      <c r="AI72" s="61">
        <f t="shared" si="24"/>
        <v>0</v>
      </c>
      <c r="AJ72" s="61">
        <f t="shared" si="24"/>
        <v>0</v>
      </c>
      <c r="AK72" s="61">
        <f t="shared" si="24"/>
        <v>0</v>
      </c>
    </row>
    <row r="74" spans="2:37" s="100" customFormat="1">
      <c r="B74" s="100" t="s">
        <v>535</v>
      </c>
      <c r="G74" s="101">
        <f ca="1">SUM(G62,G70:G72)</f>
        <v>-49368914.202169597</v>
      </c>
      <c r="H74" s="101">
        <f t="shared" ref="H74:AK74" ca="1" si="25">SUM(H62,H70:H72)</f>
        <v>-7793949.829013858</v>
      </c>
      <c r="I74" s="101">
        <f t="shared" ca="1" si="25"/>
        <v>-5093498.450628601</v>
      </c>
      <c r="J74" s="101">
        <f t="shared" ca="1" si="25"/>
        <v>-5014887.4075879827</v>
      </c>
      <c r="K74" s="101">
        <f t="shared" ca="1" si="25"/>
        <v>-4936761.6207244284</v>
      </c>
      <c r="L74" s="101">
        <f t="shared" ca="1" si="25"/>
        <v>-4859279.5332491407</v>
      </c>
      <c r="M74" s="101">
        <f t="shared" ca="1" si="25"/>
        <v>-4782611.6222772794</v>
      </c>
      <c r="N74" s="101">
        <f t="shared" ca="1" si="25"/>
        <v>-4706941.1282437993</v>
      </c>
      <c r="O74" s="101">
        <f t="shared" ca="1" si="25"/>
        <v>-4632464.8248427948</v>
      </c>
      <c r="P74" s="101">
        <f t="shared" ca="1" si="25"/>
        <v>-4559393.831649188</v>
      </c>
      <c r="Q74" s="101">
        <f t="shared" ca="1" si="25"/>
        <v>14529804.741680142</v>
      </c>
      <c r="R74" s="101">
        <f t="shared" si="25"/>
        <v>0</v>
      </c>
      <c r="S74" s="101">
        <f t="shared" si="25"/>
        <v>0</v>
      </c>
      <c r="T74" s="101">
        <f t="shared" si="25"/>
        <v>0</v>
      </c>
      <c r="U74" s="101">
        <f t="shared" si="25"/>
        <v>0</v>
      </c>
      <c r="V74" s="101">
        <f t="shared" si="25"/>
        <v>0</v>
      </c>
      <c r="W74" s="101">
        <f t="shared" si="25"/>
        <v>0</v>
      </c>
      <c r="X74" s="101">
        <f t="shared" si="25"/>
        <v>0</v>
      </c>
      <c r="Y74" s="101">
        <f t="shared" si="25"/>
        <v>0</v>
      </c>
      <c r="Z74" s="101">
        <f t="shared" si="25"/>
        <v>0</v>
      </c>
      <c r="AA74" s="101">
        <f t="shared" si="25"/>
        <v>0</v>
      </c>
      <c r="AB74" s="101">
        <f t="shared" si="25"/>
        <v>0</v>
      </c>
      <c r="AC74" s="101">
        <f t="shared" si="25"/>
        <v>0</v>
      </c>
      <c r="AD74" s="101">
        <f t="shared" si="25"/>
        <v>0</v>
      </c>
      <c r="AE74" s="101">
        <f t="shared" si="25"/>
        <v>0</v>
      </c>
      <c r="AF74" s="101">
        <f t="shared" si="25"/>
        <v>0</v>
      </c>
      <c r="AG74" s="101">
        <f t="shared" si="25"/>
        <v>0</v>
      </c>
      <c r="AH74" s="101">
        <f t="shared" si="25"/>
        <v>0</v>
      </c>
      <c r="AI74" s="101">
        <f t="shared" si="25"/>
        <v>0</v>
      </c>
      <c r="AJ74" s="101">
        <f t="shared" si="25"/>
        <v>0</v>
      </c>
      <c r="AK74" s="101">
        <f t="shared" si="25"/>
        <v>0</v>
      </c>
    </row>
    <row r="75" spans="2:37" ht="16.2" thickBot="1"/>
    <row r="76" spans="2:37">
      <c r="B76" s="81" t="str">
        <f>B64</f>
        <v>Profit</v>
      </c>
      <c r="C76" s="82"/>
      <c r="D76" s="82"/>
      <c r="E76" s="82"/>
      <c r="F76" s="83">
        <f ca="1">SUM(G74:R74)</f>
        <v>-81218897.708706513</v>
      </c>
    </row>
    <row r="77" spans="2:37">
      <c r="B77" s="84" t="str">
        <f t="shared" ref="B77:B80" si="26">B65</f>
        <v>PV</v>
      </c>
      <c r="F77" s="85">
        <f ca="1">NPV($M$27,H74:R74)</f>
        <v>-26314073.881425928</v>
      </c>
    </row>
    <row r="78" spans="2:37">
      <c r="B78" s="84" t="str">
        <f t="shared" si="26"/>
        <v>NPV</v>
      </c>
      <c r="F78" s="85">
        <f ca="1">F77+G74</f>
        <v>-75682988.083595529</v>
      </c>
    </row>
    <row r="79" spans="2:37">
      <c r="B79" s="84" t="s">
        <v>536</v>
      </c>
      <c r="F79" s="90" t="e">
        <f ca="1">IRR(G74:R74)</f>
        <v>#NUM!</v>
      </c>
    </row>
    <row r="80" spans="2:37" ht="16.2" thickBot="1">
      <c r="B80" s="87" t="str">
        <f t="shared" si="26"/>
        <v>Equity Multiple</v>
      </c>
      <c r="C80" s="88"/>
      <c r="D80" s="88"/>
      <c r="E80" s="88"/>
      <c r="F80" s="89">
        <f ca="1">(F76/-G74)+1</f>
        <v>-0.64514247520431023</v>
      </c>
    </row>
    <row r="82" spans="1:37">
      <c r="A82" s="58" t="s">
        <v>472</v>
      </c>
      <c r="B82" s="242" t="s">
        <v>537</v>
      </c>
      <c r="C82" s="242"/>
      <c r="D82" s="242"/>
      <c r="E82" s="242"/>
      <c r="F82" s="242"/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</row>
    <row r="83" spans="1:37">
      <c r="B83" s="58" t="s">
        <v>538</v>
      </c>
      <c r="H83" s="91">
        <f ca="1">-H62/$G$62</f>
        <v>1.08965091403116E-2</v>
      </c>
      <c r="I83" s="91">
        <f t="shared" ref="I83:AK83" ca="1" si="27">-I62/$G$62</f>
        <v>2.7306337604393445E-2</v>
      </c>
      <c r="J83" s="91">
        <f t="shared" ca="1" si="27"/>
        <v>2.7784033200768322E-2</v>
      </c>
      <c r="K83" s="91">
        <f t="shared" ca="1" si="27"/>
        <v>2.8258780041727532E-2</v>
      </c>
      <c r="L83" s="91">
        <f t="shared" ca="1" si="27"/>
        <v>2.8729615315669303E-2</v>
      </c>
      <c r="M83" s="91">
        <f t="shared" ca="1" si="27"/>
        <v>2.9195503084587415E-2</v>
      </c>
      <c r="N83" s="91">
        <f t="shared" ca="1" si="27"/>
        <v>2.9655329851631166E-2</v>
      </c>
      <c r="O83" s="91">
        <f t="shared" ca="1" si="27"/>
        <v>3.0107899882416234E-2</v>
      </c>
      <c r="P83" s="91">
        <f t="shared" ca="1" si="27"/>
        <v>3.055193026696779E-2</v>
      </c>
      <c r="Q83" s="91">
        <f t="shared" ca="1" si="27"/>
        <v>0.59185699257383662</v>
      </c>
      <c r="R83" s="91">
        <f t="shared" ca="1" si="27"/>
        <v>0</v>
      </c>
      <c r="S83" s="91">
        <f t="shared" ca="1" si="27"/>
        <v>0</v>
      </c>
      <c r="T83" s="91">
        <f t="shared" ca="1" si="27"/>
        <v>0</v>
      </c>
      <c r="U83" s="91">
        <f t="shared" ca="1" si="27"/>
        <v>0</v>
      </c>
      <c r="V83" s="91">
        <f t="shared" ca="1" si="27"/>
        <v>0</v>
      </c>
      <c r="W83" s="91">
        <f t="shared" ca="1" si="27"/>
        <v>0</v>
      </c>
      <c r="X83" s="91">
        <f t="shared" ca="1" si="27"/>
        <v>0</v>
      </c>
      <c r="Y83" s="91">
        <f t="shared" ca="1" si="27"/>
        <v>0</v>
      </c>
      <c r="Z83" s="91">
        <f t="shared" ca="1" si="27"/>
        <v>0</v>
      </c>
      <c r="AA83" s="91">
        <f t="shared" ca="1" si="27"/>
        <v>0</v>
      </c>
      <c r="AB83" s="91">
        <f t="shared" ca="1" si="27"/>
        <v>0</v>
      </c>
      <c r="AC83" s="91">
        <f t="shared" ca="1" si="27"/>
        <v>0</v>
      </c>
      <c r="AD83" s="91">
        <f t="shared" ca="1" si="27"/>
        <v>0</v>
      </c>
      <c r="AE83" s="91">
        <f t="shared" ca="1" si="27"/>
        <v>0</v>
      </c>
      <c r="AF83" s="91">
        <f t="shared" ca="1" si="27"/>
        <v>0</v>
      </c>
      <c r="AG83" s="91">
        <f t="shared" ca="1" si="27"/>
        <v>0</v>
      </c>
      <c r="AH83" s="91">
        <f t="shared" ca="1" si="27"/>
        <v>0</v>
      </c>
      <c r="AI83" s="91">
        <f t="shared" ca="1" si="27"/>
        <v>0</v>
      </c>
      <c r="AJ83" s="91">
        <f t="shared" ca="1" si="27"/>
        <v>0</v>
      </c>
      <c r="AK83" s="91">
        <f t="shared" ca="1" si="27"/>
        <v>0</v>
      </c>
    </row>
    <row r="84" spans="1:37">
      <c r="B84" s="58" t="s">
        <v>539</v>
      </c>
      <c r="H84" s="91">
        <f ca="1">-H74/$G$74</f>
        <v>-0.15787160716350818</v>
      </c>
      <c r="I84" s="91">
        <f t="shared" ref="I84:AK84" ca="1" si="28">-I74/$G$74</f>
        <v>-0.10317217894990202</v>
      </c>
      <c r="J84" s="91">
        <f t="shared" ca="1" si="28"/>
        <v>-0.1015798602953191</v>
      </c>
      <c r="K84" s="91">
        <f t="shared" ca="1" si="28"/>
        <v>-9.9997370825455068E-2</v>
      </c>
      <c r="L84" s="91">
        <f t="shared" ca="1" si="28"/>
        <v>-9.8427919912315837E-2</v>
      </c>
      <c r="M84" s="91">
        <f t="shared" ca="1" si="28"/>
        <v>-9.6874960682588801E-2</v>
      </c>
      <c r="N84" s="91">
        <f t="shared" ca="1" si="28"/>
        <v>-9.5342204792442958E-2</v>
      </c>
      <c r="O84" s="91">
        <f t="shared" ca="1" si="28"/>
        <v>-9.3833638023159388E-2</v>
      </c>
      <c r="P84" s="91">
        <f t="shared" ca="1" si="28"/>
        <v>-9.235353674132088E-2</v>
      </c>
      <c r="Q84" s="91">
        <f t="shared" ca="1" si="28"/>
        <v>0.29431080218170175</v>
      </c>
      <c r="R84" s="91">
        <f t="shared" ca="1" si="28"/>
        <v>0</v>
      </c>
      <c r="S84" s="91">
        <f t="shared" ca="1" si="28"/>
        <v>0</v>
      </c>
      <c r="T84" s="91">
        <f t="shared" ca="1" si="28"/>
        <v>0</v>
      </c>
      <c r="U84" s="91">
        <f t="shared" ca="1" si="28"/>
        <v>0</v>
      </c>
      <c r="V84" s="91">
        <f t="shared" ca="1" si="28"/>
        <v>0</v>
      </c>
      <c r="W84" s="91">
        <f t="shared" ca="1" si="28"/>
        <v>0</v>
      </c>
      <c r="X84" s="91">
        <f t="shared" ca="1" si="28"/>
        <v>0</v>
      </c>
      <c r="Y84" s="91">
        <f t="shared" ca="1" si="28"/>
        <v>0</v>
      </c>
      <c r="Z84" s="91">
        <f t="shared" ca="1" si="28"/>
        <v>0</v>
      </c>
      <c r="AA84" s="91">
        <f t="shared" ca="1" si="28"/>
        <v>0</v>
      </c>
      <c r="AB84" s="91">
        <f t="shared" ca="1" si="28"/>
        <v>0</v>
      </c>
      <c r="AC84" s="91">
        <f t="shared" ca="1" si="28"/>
        <v>0</v>
      </c>
      <c r="AD84" s="91">
        <f t="shared" ca="1" si="28"/>
        <v>0</v>
      </c>
      <c r="AE84" s="91">
        <f t="shared" ca="1" si="28"/>
        <v>0</v>
      </c>
      <c r="AF84" s="91">
        <f t="shared" ca="1" si="28"/>
        <v>0</v>
      </c>
      <c r="AG84" s="91">
        <f t="shared" ca="1" si="28"/>
        <v>0</v>
      </c>
      <c r="AH84" s="91">
        <f t="shared" ca="1" si="28"/>
        <v>0</v>
      </c>
      <c r="AI84" s="91">
        <f t="shared" ca="1" si="28"/>
        <v>0</v>
      </c>
      <c r="AJ84" s="91">
        <f t="shared" ca="1" si="28"/>
        <v>0</v>
      </c>
      <c r="AK84" s="91">
        <f t="shared" ca="1" si="28"/>
        <v>0</v>
      </c>
    </row>
    <row r="85" spans="1:37">
      <c r="B85" s="58" t="s">
        <v>540</v>
      </c>
      <c r="H85" s="61">
        <f t="shared" ref="H85:AK85" ca="1" si="29">-CUMPRINC($R$13/12,$R$14*12,$R$12,H39*12-11,H39*12,0)</f>
        <v>3218003.3980863462</v>
      </c>
      <c r="I85" s="61">
        <f t="shared" ca="1" si="29"/>
        <v>3402909.642863078</v>
      </c>
      <c r="J85" s="61">
        <f t="shared" ca="1" si="29"/>
        <v>3598440.5872214711</v>
      </c>
      <c r="K85" s="61">
        <f t="shared" ca="1" si="29"/>
        <v>3805206.7256385335</v>
      </c>
      <c r="L85" s="61">
        <f t="shared" ca="1" si="29"/>
        <v>4023853.6315601985</v>
      </c>
      <c r="M85" s="61">
        <f t="shared" ca="1" si="29"/>
        <v>4255063.9730363656</v>
      </c>
      <c r="N85" s="61">
        <f t="shared" ca="1" si="29"/>
        <v>4499559.6441741874</v>
      </c>
      <c r="O85" s="61">
        <f t="shared" ca="1" si="29"/>
        <v>4758104.019064513</v>
      </c>
      <c r="P85" s="61">
        <f t="shared" ca="1" si="29"/>
        <v>5031504.3352187742</v>
      </c>
      <c r="Q85" s="61">
        <f t="shared" ca="1" si="29"/>
        <v>5320614.2139579961</v>
      </c>
      <c r="R85" s="61">
        <f t="shared" ca="1" si="29"/>
        <v>5626336.3256231751</v>
      </c>
      <c r="S85" s="61">
        <f t="shared" ca="1" si="29"/>
        <v>5949625.2079284433</v>
      </c>
      <c r="T85" s="61">
        <f t="shared" ca="1" si="29"/>
        <v>6291490.2462566327</v>
      </c>
      <c r="U85" s="61">
        <f t="shared" ca="1" si="29"/>
        <v>6652998.8252023691</v>
      </c>
      <c r="V85" s="61">
        <f t="shared" ca="1" si="29"/>
        <v>7035279.661202644</v>
      </c>
      <c r="W85" s="61">
        <f t="shared" ca="1" si="29"/>
        <v>7439526.3266600799</v>
      </c>
      <c r="X85" s="61">
        <f t="shared" ca="1" si="29"/>
        <v>7867000.9765620595</v>
      </c>
      <c r="Y85" s="61">
        <f t="shared" ca="1" si="29"/>
        <v>8319038.2892311569</v>
      </c>
      <c r="Z85" s="61">
        <f t="shared" ca="1" si="29"/>
        <v>8797049.6335107591</v>
      </c>
      <c r="AA85" s="61">
        <f t="shared" ca="1" si="29"/>
        <v>9302527.4753969125</v>
      </c>
      <c r="AB85" s="61" t="e">
        <f t="shared" ca="1" si="29"/>
        <v>#NUM!</v>
      </c>
      <c r="AC85" s="61" t="e">
        <f t="shared" ca="1" si="29"/>
        <v>#NUM!</v>
      </c>
      <c r="AD85" s="61" t="e">
        <f t="shared" ca="1" si="29"/>
        <v>#NUM!</v>
      </c>
      <c r="AE85" s="61" t="e">
        <f t="shared" ca="1" si="29"/>
        <v>#NUM!</v>
      </c>
      <c r="AF85" s="61" t="e">
        <f t="shared" ca="1" si="29"/>
        <v>#NUM!</v>
      </c>
      <c r="AG85" s="61" t="e">
        <f t="shared" ca="1" si="29"/>
        <v>#NUM!</v>
      </c>
      <c r="AH85" s="61" t="e">
        <f t="shared" ca="1" si="29"/>
        <v>#NUM!</v>
      </c>
      <c r="AI85" s="61" t="e">
        <f t="shared" ca="1" si="29"/>
        <v>#NUM!</v>
      </c>
      <c r="AJ85" s="61" t="e">
        <f t="shared" ca="1" si="29"/>
        <v>#NUM!</v>
      </c>
      <c r="AK85" s="61" t="e">
        <f t="shared" ca="1" si="29"/>
        <v>#NUM!</v>
      </c>
    </row>
    <row r="86" spans="1:37">
      <c r="B86" s="58" t="s">
        <v>541</v>
      </c>
      <c r="H86" s="91">
        <f t="shared" ref="H86:AK86" ca="1" si="30">IF(H39&lt;=$M$26,(H85+H74)/-$G$74,0)</f>
        <v>-9.2688820584318501E-2</v>
      </c>
      <c r="I86" s="91">
        <f t="shared" ca="1" si="30"/>
        <v>-3.4243994122342421E-2</v>
      </c>
      <c r="J86" s="91">
        <f t="shared" ca="1" si="30"/>
        <v>-2.8691066904288194E-2</v>
      </c>
      <c r="K86" s="91">
        <f t="shared" ca="1" si="30"/>
        <v>-2.2920392586559396E-2</v>
      </c>
      <c r="L86" s="91">
        <f t="shared" ca="1" si="30"/>
        <v>-1.6922104024159966E-2</v>
      </c>
      <c r="M86" s="91">
        <f t="shared" ca="1" si="30"/>
        <v>-1.0685826451044975E-2</v>
      </c>
      <c r="N86" s="91">
        <f t="shared" ca="1" si="30"/>
        <v>-4.2006490809250599E-3</v>
      </c>
      <c r="O86" s="91">
        <f t="shared" ca="1" si="30"/>
        <v>2.5449049518734769E-3</v>
      </c>
      <c r="P86" s="91">
        <f t="shared" ca="1" si="30"/>
        <v>9.5629104103091365E-3</v>
      </c>
      <c r="Q86" s="91">
        <f t="shared" ca="1" si="30"/>
        <v>0.40208336108728471</v>
      </c>
      <c r="R86" s="91">
        <f t="shared" si="30"/>
        <v>0</v>
      </c>
      <c r="S86" s="91">
        <f t="shared" si="30"/>
        <v>0</v>
      </c>
      <c r="T86" s="91">
        <f t="shared" si="30"/>
        <v>0</v>
      </c>
      <c r="U86" s="91">
        <f t="shared" si="30"/>
        <v>0</v>
      </c>
      <c r="V86" s="91">
        <f t="shared" si="30"/>
        <v>0</v>
      </c>
      <c r="W86" s="91">
        <f t="shared" si="30"/>
        <v>0</v>
      </c>
      <c r="X86" s="91">
        <f t="shared" si="30"/>
        <v>0</v>
      </c>
      <c r="Y86" s="91">
        <f t="shared" si="30"/>
        <v>0</v>
      </c>
      <c r="Z86" s="91">
        <f t="shared" si="30"/>
        <v>0</v>
      </c>
      <c r="AA86" s="91">
        <f t="shared" si="30"/>
        <v>0</v>
      </c>
      <c r="AB86" s="91">
        <f t="shared" si="30"/>
        <v>0</v>
      </c>
      <c r="AC86" s="91">
        <f t="shared" si="30"/>
        <v>0</v>
      </c>
      <c r="AD86" s="91">
        <f t="shared" si="30"/>
        <v>0</v>
      </c>
      <c r="AE86" s="91">
        <f t="shared" si="30"/>
        <v>0</v>
      </c>
      <c r="AF86" s="91">
        <f t="shared" si="30"/>
        <v>0</v>
      </c>
      <c r="AG86" s="91">
        <f t="shared" si="30"/>
        <v>0</v>
      </c>
      <c r="AH86" s="91">
        <f t="shared" si="30"/>
        <v>0</v>
      </c>
      <c r="AI86" s="91">
        <f t="shared" si="30"/>
        <v>0</v>
      </c>
      <c r="AJ86" s="91">
        <f t="shared" si="30"/>
        <v>0</v>
      </c>
      <c r="AK86" s="91">
        <f t="shared" si="30"/>
        <v>0</v>
      </c>
    </row>
    <row r="87" spans="1:37">
      <c r="B87" s="58" t="s">
        <v>491</v>
      </c>
      <c r="H87" s="68">
        <f t="shared" ref="H87:AK87" ca="1" si="31">IF(H39&lt;=$M$26,H58/-H72,0)</f>
        <v>0.18703887482473042</v>
      </c>
      <c r="I87" s="68">
        <f t="shared" ca="1" si="31"/>
        <v>0.46871402532168427</v>
      </c>
      <c r="J87" s="68">
        <f t="shared" ca="1" si="31"/>
        <v>0.47691368318496674</v>
      </c>
      <c r="K87" s="68">
        <f t="shared" ca="1" si="31"/>
        <v>0.48506272558159125</v>
      </c>
      <c r="L87" s="68">
        <f t="shared" ca="1" si="31"/>
        <v>0.49314462582430918</v>
      </c>
      <c r="M87" s="68">
        <f t="shared" ca="1" si="31"/>
        <v>0.50114160200915692</v>
      </c>
      <c r="N87" s="68">
        <f t="shared" ca="1" si="31"/>
        <v>0.50903454093250255</v>
      </c>
      <c r="O87" s="68">
        <f t="shared" ca="1" si="31"/>
        <v>0.51680291778121989</v>
      </c>
      <c r="P87" s="68">
        <f t="shared" ca="1" si="31"/>
        <v>0.52442471137080793</v>
      </c>
      <c r="Q87" s="68">
        <f t="shared" ca="1" si="31"/>
        <v>0.5318763146945249</v>
      </c>
      <c r="R87" s="68">
        <f t="shared" si="31"/>
        <v>0</v>
      </c>
      <c r="S87" s="68">
        <f t="shared" si="31"/>
        <v>0</v>
      </c>
      <c r="T87" s="68">
        <f t="shared" si="31"/>
        <v>0</v>
      </c>
      <c r="U87" s="68">
        <f t="shared" si="31"/>
        <v>0</v>
      </c>
      <c r="V87" s="68">
        <f t="shared" si="31"/>
        <v>0</v>
      </c>
      <c r="W87" s="68">
        <f t="shared" si="31"/>
        <v>0</v>
      </c>
      <c r="X87" s="68">
        <f t="shared" si="31"/>
        <v>0</v>
      </c>
      <c r="Y87" s="68">
        <f t="shared" si="31"/>
        <v>0</v>
      </c>
      <c r="Z87" s="68">
        <f t="shared" si="31"/>
        <v>0</v>
      </c>
      <c r="AA87" s="68">
        <f t="shared" si="31"/>
        <v>0</v>
      </c>
      <c r="AB87" s="68">
        <f t="shared" si="31"/>
        <v>0</v>
      </c>
      <c r="AC87" s="68">
        <f t="shared" si="31"/>
        <v>0</v>
      </c>
      <c r="AD87" s="68">
        <f t="shared" si="31"/>
        <v>0</v>
      </c>
      <c r="AE87" s="68">
        <f t="shared" si="31"/>
        <v>0</v>
      </c>
      <c r="AF87" s="68">
        <f t="shared" si="31"/>
        <v>0</v>
      </c>
      <c r="AG87" s="68">
        <f t="shared" si="31"/>
        <v>0</v>
      </c>
      <c r="AH87" s="68">
        <f t="shared" si="31"/>
        <v>0</v>
      </c>
      <c r="AI87" s="68">
        <f t="shared" si="31"/>
        <v>0</v>
      </c>
      <c r="AJ87" s="68">
        <f t="shared" si="31"/>
        <v>0</v>
      </c>
      <c r="AK87" s="68">
        <f t="shared" si="31"/>
        <v>0</v>
      </c>
    </row>
    <row r="88" spans="1:37">
      <c r="B88" s="58" t="s">
        <v>493</v>
      </c>
      <c r="H88" s="91">
        <f ca="1">H62/($G$70-SUM(H85:$H$85))</f>
        <v>1.6013794669119508E-2</v>
      </c>
      <c r="I88" s="91">
        <f ca="1">I62/($G$70-SUM($H85:I$85))</f>
        <v>4.1387868240954473E-2</v>
      </c>
      <c r="J88" s="91">
        <f ca="1">J62/($G$70-SUM($H85:J$85))</f>
        <v>4.355546343857316E-2</v>
      </c>
      <c r="K88" s="91">
        <f ca="1">K62/($G$70-SUM($H85:K$85))</f>
        <v>4.596590486445086E-2</v>
      </c>
      <c r="L88" s="91">
        <f ca="1">L62/($G$70-SUM($H85:L$85))</f>
        <v>4.8667435750013137E-2</v>
      </c>
      <c r="M88" s="91">
        <f ca="1">M62/($G$70-SUM($H85:M$85))</f>
        <v>5.1722112917937019E-2</v>
      </c>
      <c r="N88" s="91">
        <f ca="1">N62/($G$70-SUM($H85:N$85))</f>
        <v>5.5211120766080382E-2</v>
      </c>
      <c r="O88" s="91">
        <f ca="1">O62/($G$70-SUM($H85:O$85))</f>
        <v>5.9242742174093914E-2</v>
      </c>
      <c r="P88" s="91">
        <f ca="1">P62/($G$70-SUM($H85:P$85))</f>
        <v>6.3964677096465347E-2</v>
      </c>
      <c r="Q88" s="91">
        <f ca="1">Q62/($G$70-SUM($H85:Q$85))</f>
        <v>1.3291024839574446</v>
      </c>
      <c r="R88" s="91">
        <f ca="1">R62/($G$70-SUM($H85:R$85))</f>
        <v>0</v>
      </c>
      <c r="S88" s="91">
        <f ca="1">S62/($G$70-SUM($H85:S$85))</f>
        <v>0</v>
      </c>
      <c r="T88" s="91">
        <f ca="1">T62/($G$70-SUM($H85:T$85))</f>
        <v>0</v>
      </c>
      <c r="U88" s="91">
        <f ca="1">U62/($G$70-SUM($H85:U$85))</f>
        <v>0</v>
      </c>
      <c r="V88" s="91">
        <f ca="1">V62/($G$70-SUM($H85:V$85))</f>
        <v>0</v>
      </c>
      <c r="W88" s="91">
        <f ca="1">W62/($G$70-SUM($H85:W$85))</f>
        <v>0</v>
      </c>
      <c r="X88" s="91">
        <f ca="1">X62/($G$70-SUM($H85:X$85))</f>
        <v>0</v>
      </c>
      <c r="Y88" s="91">
        <f ca="1">Y62/($G$70-SUM($H85:Y$85))</f>
        <v>0</v>
      </c>
      <c r="Z88" s="91">
        <f ca="1">Z62/($G$70-SUM($H85:Z$85))</f>
        <v>0</v>
      </c>
      <c r="AA88" s="91">
        <f ca="1">AA62/($G$70-SUM($H85:AA$85))</f>
        <v>0</v>
      </c>
      <c r="AB88" s="91" t="e">
        <f ca="1">AB62/($G$70-SUM($H85:AB$85))</f>
        <v>#NUM!</v>
      </c>
      <c r="AC88" s="91" t="e">
        <f ca="1">AC62/($G$70-SUM($H85:AC$85))</f>
        <v>#NUM!</v>
      </c>
      <c r="AD88" s="91" t="e">
        <f ca="1">AD62/($G$70-SUM($H85:AD$85))</f>
        <v>#NUM!</v>
      </c>
      <c r="AE88" s="91" t="e">
        <f ca="1">AE62/($G$70-SUM($H85:AE$85))</f>
        <v>#NUM!</v>
      </c>
      <c r="AF88" s="91" t="e">
        <f ca="1">AF62/($G$70-SUM($H85:AF$85))</f>
        <v>#NUM!</v>
      </c>
      <c r="AG88" s="91" t="e">
        <f ca="1">AG62/($G$70-SUM($H85:AG$85))</f>
        <v>#NUM!</v>
      </c>
      <c r="AH88" s="91" t="e">
        <f ca="1">AH62/($G$70-SUM($H85:AH$85))</f>
        <v>#NUM!</v>
      </c>
      <c r="AI88" s="91" t="e">
        <f ca="1">AI62/($G$70-SUM($H85:AI$85))</f>
        <v>#NUM!</v>
      </c>
      <c r="AJ88" s="91" t="e">
        <f ca="1">AJ62/($G$70-SUM($H85:AJ$85))</f>
        <v>#NUM!</v>
      </c>
      <c r="AK88" s="91" t="e">
        <f ca="1">AK62/($G$70-SUM($H85:AK$85))</f>
        <v>#NUM!</v>
      </c>
    </row>
  </sheetData>
  <pageMargins left="0.7" right="0.7" top="0.75" bottom="0.75" header="0.3" footer="0.3"/>
  <pageSetup scale="42" orientation="portrait" r:id="rId1"/>
  <headerFooter>
    <oddHeader xml:space="preserve">&amp;L2019 ULI Hines Student Competition&amp;R2019-331 &amp;A 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FF529-6F58-4475-AA8B-B818A2D745E6}">
  <sheetPr>
    <tabColor theme="1"/>
    <pageSetUpPr fitToPage="1"/>
  </sheetPr>
  <dimension ref="A1:T55"/>
  <sheetViews>
    <sheetView showGridLines="0" tabSelected="1" view="pageBreakPreview" zoomScale="80" zoomScaleNormal="100" zoomScaleSheetLayoutView="80" workbookViewId="0">
      <selection activeCell="J28" sqref="J28"/>
    </sheetView>
  </sheetViews>
  <sheetFormatPr defaultRowHeight="13.2"/>
  <cols>
    <col min="1" max="1" width="1.77734375" customWidth="1"/>
    <col min="2" max="2" width="31.88671875" bestFit="1" customWidth="1"/>
    <col min="3" max="3" width="16.109375" style="3" customWidth="1"/>
    <col min="4" max="4" width="9.88671875" customWidth="1"/>
    <col min="5" max="5" width="10.44140625" bestFit="1" customWidth="1"/>
    <col min="6" max="6" width="3.88671875" customWidth="1"/>
    <col min="7" max="7" width="20.77734375" style="3" bestFit="1" customWidth="1"/>
    <col min="8" max="8" width="19.33203125" style="3" customWidth="1"/>
    <col min="9" max="9" width="12.77734375" bestFit="1" customWidth="1"/>
    <col min="10" max="10" width="14.44140625" bestFit="1" customWidth="1"/>
    <col min="11" max="11" width="4.33203125" customWidth="1"/>
    <col min="12" max="12" width="20" style="3" customWidth="1"/>
    <col min="13" max="13" width="12.77734375" bestFit="1" customWidth="1"/>
    <col min="14" max="14" width="16.5546875" bestFit="1" customWidth="1"/>
    <col min="16" max="16" width="3.5546875" customWidth="1"/>
    <col min="19" max="19" width="20.77734375" bestFit="1" customWidth="1"/>
    <col min="20" max="20" width="12.77734375" style="3" bestFit="1" customWidth="1"/>
  </cols>
  <sheetData>
    <row r="1" spans="1:20">
      <c r="A1" s="1"/>
    </row>
    <row r="2" spans="1:20">
      <c r="A2" s="1"/>
    </row>
    <row r="3" spans="1:20">
      <c r="A3" s="1"/>
    </row>
    <row r="4" spans="1:20">
      <c r="A4" s="1"/>
    </row>
    <row r="5" spans="1:20">
      <c r="A5" s="1"/>
    </row>
    <row r="6" spans="1:20">
      <c r="A6" s="1"/>
    </row>
    <row r="7" spans="1:20">
      <c r="A7" s="1"/>
    </row>
    <row r="8" spans="1:20">
      <c r="A8" s="1"/>
      <c r="B8" s="410" t="s">
        <v>762</v>
      </c>
    </row>
    <row r="9" spans="1:20">
      <c r="A9" s="1"/>
    </row>
    <row r="10" spans="1:20" ht="17.399999999999999">
      <c r="B10" s="430" t="s">
        <v>779</v>
      </c>
      <c r="C10" s="431"/>
      <c r="D10" s="432"/>
      <c r="E10" s="432"/>
      <c r="F10" s="432"/>
      <c r="G10" s="431"/>
      <c r="H10" s="431"/>
      <c r="I10" s="431"/>
      <c r="J10" s="431"/>
      <c r="K10" s="431"/>
      <c r="L10" s="431"/>
      <c r="M10" s="431"/>
      <c r="N10" s="431"/>
      <c r="O10" s="431"/>
      <c r="P10" s="431"/>
      <c r="Q10" s="431"/>
      <c r="R10" s="431"/>
      <c r="S10" s="431"/>
      <c r="T10" s="431"/>
    </row>
    <row r="11" spans="1:20">
      <c r="B11" s="1"/>
    </row>
    <row r="12" spans="1:20" ht="14.4">
      <c r="B12" s="10" t="s">
        <v>768</v>
      </c>
      <c r="C12" s="11"/>
      <c r="D12" s="36"/>
      <c r="E12" s="36" t="s">
        <v>442</v>
      </c>
      <c r="G12" s="442" t="s">
        <v>778</v>
      </c>
      <c r="H12" s="450"/>
      <c r="I12" s="445" t="s">
        <v>450</v>
      </c>
      <c r="J12" s="445" t="s">
        <v>442</v>
      </c>
      <c r="L12" s="442" t="s">
        <v>792</v>
      </c>
      <c r="M12" s="450"/>
      <c r="N12" s="445"/>
      <c r="O12" s="445" t="s">
        <v>805</v>
      </c>
      <c r="Q12" s="442" t="s">
        <v>795</v>
      </c>
      <c r="R12" s="450"/>
      <c r="S12" s="445"/>
      <c r="T12" s="445"/>
    </row>
    <row r="13" spans="1:20" ht="14.4">
      <c r="B13" t="s">
        <v>399</v>
      </c>
      <c r="D13" s="46"/>
      <c r="E13" s="46">
        <f>SUM(Parcels!N96,Parcels!N97)</f>
        <v>739539.4</v>
      </c>
      <c r="G13" s="447" t="s">
        <v>440</v>
      </c>
      <c r="H13" s="451"/>
      <c r="I13" s="451">
        <f>J13/$J$18</f>
        <v>0.31317776030175265</v>
      </c>
      <c r="J13" s="448">
        <f>'Area Matrix'!D11</f>
        <v>860180.29999999993</v>
      </c>
      <c r="L13" s="447" t="s">
        <v>440</v>
      </c>
      <c r="M13" s="451"/>
      <c r="N13" s="448"/>
      <c r="O13" s="448">
        <f>SUM(O21,O29)</f>
        <v>729</v>
      </c>
      <c r="Q13" s="1" t="s">
        <v>798</v>
      </c>
      <c r="T13" s="241">
        <f>'Phase I - CF MF Market Rental'!M13</f>
        <v>1400</v>
      </c>
    </row>
    <row r="14" spans="1:20">
      <c r="B14" t="s">
        <v>400</v>
      </c>
      <c r="D14" s="56"/>
      <c r="E14" s="56" t="s">
        <v>789</v>
      </c>
      <c r="G14" s="96" t="s">
        <v>653</v>
      </c>
      <c r="H14" s="354"/>
      <c r="I14" s="354">
        <f>J14/$J$18</f>
        <v>0.13421904012932259</v>
      </c>
      <c r="J14" s="446">
        <f>'Area Matrix'!D12</f>
        <v>368648.7</v>
      </c>
      <c r="L14" s="96" t="s">
        <v>653</v>
      </c>
      <c r="M14" s="354"/>
      <c r="N14" s="519">
        <f>O14/(O13+O14)</f>
        <v>0.29971181556195964</v>
      </c>
      <c r="O14" s="446">
        <f>SUM(O22,O30)</f>
        <v>312</v>
      </c>
      <c r="Q14" s="1" t="s">
        <v>799</v>
      </c>
      <c r="T14" s="241">
        <f>'Phase I - CF MF Market Rental'!M14</f>
        <v>1500</v>
      </c>
    </row>
    <row r="15" spans="1:20">
      <c r="B15" s="1" t="s">
        <v>781</v>
      </c>
      <c r="D15" s="449"/>
      <c r="E15" s="449">
        <f>E16/E13</f>
        <v>3.7139603380157973</v>
      </c>
      <c r="G15" s="96" t="s">
        <v>439</v>
      </c>
      <c r="H15" s="354"/>
      <c r="I15" s="354">
        <f>J15/$J$18</f>
        <v>0.36865492860315585</v>
      </c>
      <c r="J15" s="446">
        <f>'Area Matrix'!D13</f>
        <v>1012555</v>
      </c>
      <c r="L15" s="96" t="s">
        <v>25</v>
      </c>
      <c r="M15" s="354"/>
      <c r="N15" s="446"/>
      <c r="O15" s="446">
        <f>SUM(O23,O31)</f>
        <v>144.3656</v>
      </c>
      <c r="Q15" s="1" t="s">
        <v>800</v>
      </c>
      <c r="T15" s="241">
        <f>'Phase I - CF MF Market Rental'!M15</f>
        <v>1700</v>
      </c>
    </row>
    <row r="16" spans="1:20">
      <c r="B16" t="s">
        <v>787</v>
      </c>
      <c r="D16" s="31"/>
      <c r="E16" s="31">
        <f>'Area Matrix'!D16</f>
        <v>2746620</v>
      </c>
      <c r="G16" s="96" t="s">
        <v>25</v>
      </c>
      <c r="H16" s="354"/>
      <c r="I16" s="354">
        <f>J16/$J$18</f>
        <v>0.13380482192658613</v>
      </c>
      <c r="J16" s="446">
        <f>'Area Matrix'!D14</f>
        <v>367511</v>
      </c>
      <c r="L16" s="96" t="s">
        <v>26</v>
      </c>
      <c r="M16" s="354"/>
      <c r="N16" s="446"/>
      <c r="O16" s="446">
        <f>SUM(O24,O32)</f>
        <v>273</v>
      </c>
      <c r="Q16" s="1" t="s">
        <v>801</v>
      </c>
      <c r="T16" s="241">
        <f>'Phase I - CF Affordable Rental'!M13</f>
        <v>600</v>
      </c>
    </row>
    <row r="17" spans="2:20">
      <c r="G17" s="96" t="s">
        <v>26</v>
      </c>
      <c r="H17" s="354"/>
      <c r="I17" s="354">
        <f>J17/$J$18</f>
        <v>5.0143449039182705E-2</v>
      </c>
      <c r="J17" s="446">
        <f>'Area Matrix'!D15</f>
        <v>137725</v>
      </c>
      <c r="L17" s="484" t="s">
        <v>790</v>
      </c>
      <c r="M17" s="354"/>
      <c r="N17" s="446"/>
      <c r="O17" s="446">
        <f>SUM(O25,O33)</f>
        <v>694</v>
      </c>
      <c r="Q17" s="1" t="s">
        <v>802</v>
      </c>
      <c r="T17" s="241">
        <f>'Phase I - CF Affordable Rental'!M14</f>
        <v>850</v>
      </c>
    </row>
    <row r="18" spans="2:20">
      <c r="G18" s="447" t="s">
        <v>16</v>
      </c>
      <c r="H18" s="451"/>
      <c r="I18" s="451">
        <f>SUM(I13:I17)</f>
        <v>0.99999999999999989</v>
      </c>
      <c r="J18" s="483">
        <f>SUM(J13:J17)</f>
        <v>2746620</v>
      </c>
      <c r="L18" s="447"/>
      <c r="M18" s="451"/>
      <c r="N18" s="483"/>
      <c r="O18" s="483"/>
      <c r="Q18" s="96" t="str">
        <f>'Phase I - CF MF Market Rental'!B14</f>
        <v>Efficiency</v>
      </c>
      <c r="R18" s="354"/>
      <c r="S18" s="446"/>
      <c r="T18" s="353">
        <f>'Phase I - CF MF Market Rental'!G14</f>
        <v>0.85</v>
      </c>
    </row>
    <row r="19" spans="2:20">
      <c r="G19" s="95"/>
      <c r="H19" s="354"/>
      <c r="I19" s="444"/>
      <c r="J19" s="444"/>
      <c r="L19"/>
      <c r="N19" s="3"/>
      <c r="O19" s="3"/>
      <c r="Q19" s="96" t="str">
        <f>'Phase I - CF MF Market Rental'!B16</f>
        <v>Average Unit Size</v>
      </c>
      <c r="R19" s="354"/>
      <c r="S19" s="446"/>
      <c r="T19" s="513">
        <f>'Phase I - CF MF Market Rental'!G16</f>
        <v>1000</v>
      </c>
    </row>
    <row r="20" spans="2:20" ht="14.4">
      <c r="B20" s="10" t="s">
        <v>777</v>
      </c>
      <c r="C20" s="11"/>
      <c r="D20" s="11"/>
      <c r="E20" s="11"/>
      <c r="G20" s="10" t="s">
        <v>780</v>
      </c>
      <c r="H20" s="48"/>
      <c r="I20" s="48"/>
      <c r="J20" s="48"/>
      <c r="L20" s="491" t="s">
        <v>791</v>
      </c>
      <c r="M20" s="486"/>
      <c r="N20" s="486"/>
      <c r="O20" s="486" t="s">
        <v>805</v>
      </c>
      <c r="Q20" s="96" t="str">
        <f>'Phase I - CF MF Market Rental'!B17</f>
        <v>% Studio</v>
      </c>
      <c r="R20" s="354"/>
      <c r="S20" s="446"/>
      <c r="T20" s="353">
        <f>'Phase I - CF MF Market Rental'!G17</f>
        <v>0.2</v>
      </c>
    </row>
    <row r="21" spans="2:20" ht="14.4">
      <c r="B21" s="1" t="s">
        <v>392</v>
      </c>
      <c r="D21" s="181"/>
      <c r="E21" s="563">
        <v>2020</v>
      </c>
      <c r="G21" s="452" t="s">
        <v>782</v>
      </c>
      <c r="I21" s="241"/>
      <c r="J21" s="241">
        <f ca="1">'Development Summary'!C45</f>
        <v>1011572439.4732084</v>
      </c>
      <c r="L21" s="447" t="s">
        <v>440</v>
      </c>
      <c r="M21" s="451"/>
      <c r="N21" s="448"/>
      <c r="O21" s="448">
        <f>SUM('Official Summary Board'!G68:I68)</f>
        <v>351</v>
      </c>
      <c r="Q21" s="96" t="str">
        <f>'Phase I - CF MF Market Rental'!B18</f>
        <v>% 1BR</v>
      </c>
      <c r="R21" s="354"/>
      <c r="S21" s="446"/>
      <c r="T21" s="353">
        <f>'Phase I - CF MF Market Rental'!G18</f>
        <v>0.5</v>
      </c>
    </row>
    <row r="22" spans="2:20" ht="14.4">
      <c r="B22" s="459" t="s">
        <v>20</v>
      </c>
      <c r="G22" s="452" t="s">
        <v>783</v>
      </c>
      <c r="I22" s="241"/>
      <c r="J22" s="241">
        <f>SUM('Phase I - Pro Forma'!D46,'Phase II - Pro Forma'!D46)</f>
        <v>564713275.22132874</v>
      </c>
      <c r="L22" s="96" t="s">
        <v>653</v>
      </c>
      <c r="M22" s="354"/>
      <c r="N22" s="519">
        <f>O22/(O21+O22)</f>
        <v>0.29940119760479039</v>
      </c>
      <c r="O22" s="446">
        <f>SUM('Official Summary Board'!G69:I69)</f>
        <v>150</v>
      </c>
      <c r="Q22" s="96" t="str">
        <f>'Phase I - CF MF Market Rental'!B19</f>
        <v>% 2BR</v>
      </c>
      <c r="R22" s="354"/>
      <c r="S22" s="446"/>
      <c r="T22" s="353">
        <f>'Phase I - CF MF Market Rental'!G19</f>
        <v>0.3</v>
      </c>
    </row>
    <row r="23" spans="2:20" ht="14.4">
      <c r="B23" s="1" t="s">
        <v>769</v>
      </c>
      <c r="C23"/>
      <c r="D23" s="181"/>
      <c r="E23" s="563">
        <v>2022</v>
      </c>
      <c r="G23" s="453" t="s">
        <v>785</v>
      </c>
      <c r="I23" s="241"/>
      <c r="J23" s="241">
        <f>SUM('Phase I - Pro Forma'!L40,'Phase II - Pro Forma'!O40)</f>
        <v>55293626.673068985</v>
      </c>
      <c r="L23" s="96" t="s">
        <v>25</v>
      </c>
      <c r="M23" s="354"/>
      <c r="N23" s="446"/>
      <c r="O23" s="446">
        <f>SUM('Official Summary Board'!G71:I71)</f>
        <v>63.365600000000001</v>
      </c>
      <c r="Q23" s="1" t="s">
        <v>487</v>
      </c>
      <c r="T23" s="514">
        <f>'Phase I - CF MF Market Rental'!M16</f>
        <v>0.05</v>
      </c>
    </row>
    <row r="24" spans="2:20" ht="14.4">
      <c r="B24" s="1" t="s">
        <v>770</v>
      </c>
      <c r="C24"/>
      <c r="D24" s="37"/>
      <c r="E24" s="564">
        <v>3</v>
      </c>
      <c r="G24"/>
      <c r="I24" s="3"/>
      <c r="J24" s="3"/>
      <c r="L24" s="96" t="s">
        <v>26</v>
      </c>
      <c r="M24" s="354"/>
      <c r="N24" s="446"/>
      <c r="O24" s="446">
        <f>SUM('Official Summary Board'!G70:I70)</f>
        <v>0</v>
      </c>
      <c r="Q24" s="1" t="s">
        <v>489</v>
      </c>
      <c r="T24" s="456">
        <f>'Phase I - CF MF Market Rental'!M17</f>
        <v>2.5000000000000001E-2</v>
      </c>
    </row>
    <row r="25" spans="2:20">
      <c r="B25" t="s">
        <v>771</v>
      </c>
      <c r="C25"/>
      <c r="D25" s="180"/>
      <c r="E25" s="180">
        <f>SUM(E23:E24)</f>
        <v>2025</v>
      </c>
      <c r="G25" s="197" t="s">
        <v>784</v>
      </c>
      <c r="I25" s="456"/>
      <c r="J25" s="456">
        <f ca="1">'Official Summary Board'!E62</f>
        <v>0.18359533490457847</v>
      </c>
      <c r="L25" s="484" t="s">
        <v>790</v>
      </c>
      <c r="M25" s="354"/>
      <c r="N25" s="446"/>
      <c r="O25" s="446">
        <f>SUM('Official Summary Board'!G72:I72)</f>
        <v>334</v>
      </c>
      <c r="Q25" s="1" t="s">
        <v>523</v>
      </c>
      <c r="T25" s="514">
        <f>'Phase I - CF MF Market Rental'!M23</f>
        <v>0.02</v>
      </c>
    </row>
    <row r="26" spans="2:20" s="167" customFormat="1" ht="14.4">
      <c r="B26" s="1" t="s">
        <v>772</v>
      </c>
      <c r="C26"/>
      <c r="D26" s="37"/>
      <c r="E26" s="564">
        <v>1</v>
      </c>
      <c r="G26" s="197" t="s">
        <v>788</v>
      </c>
      <c r="H26" s="3"/>
      <c r="I26" s="456"/>
      <c r="J26" s="456">
        <f>'Official Summary Board'!E61</f>
        <v>7.9261567902711993E-2</v>
      </c>
      <c r="L26" s="447"/>
      <c r="M26" s="451"/>
      <c r="N26" s="483"/>
      <c r="O26" s="483"/>
      <c r="Q26" s="1" t="s">
        <v>497</v>
      </c>
      <c r="R26"/>
      <c r="S26"/>
      <c r="T26" s="456">
        <f>'Phase I - CF Affordable Rental'!M20</f>
        <v>2.5000000000000001E-2</v>
      </c>
    </row>
    <row r="27" spans="2:20">
      <c r="B27" t="s">
        <v>404</v>
      </c>
      <c r="C27"/>
      <c r="D27" s="180"/>
      <c r="E27" s="180">
        <f>SUM(E25:E26)</f>
        <v>2026</v>
      </c>
      <c r="G27" s="167"/>
      <c r="H27" s="167"/>
      <c r="I27" s="203"/>
    </row>
    <row r="28" spans="2:20" ht="14.4">
      <c r="B28" s="458" t="s">
        <v>445</v>
      </c>
      <c r="C28" s="167"/>
      <c r="D28" s="37"/>
      <c r="E28" s="37"/>
      <c r="G28" s="197" t="s">
        <v>893</v>
      </c>
      <c r="I28" s="3"/>
      <c r="J28" s="456">
        <f>'Phase I - Summary'!D29</f>
        <v>5.6000000000000001E-2</v>
      </c>
      <c r="L28" s="489" t="s">
        <v>793</v>
      </c>
      <c r="M28" s="490"/>
      <c r="N28" s="490"/>
      <c r="O28" s="490" t="s">
        <v>805</v>
      </c>
      <c r="Q28" s="442" t="s">
        <v>797</v>
      </c>
      <c r="R28" s="450"/>
      <c r="S28" s="445"/>
      <c r="T28" s="445"/>
    </row>
    <row r="29" spans="2:20">
      <c r="B29" s="1" t="s">
        <v>773</v>
      </c>
      <c r="C29"/>
      <c r="D29" s="180"/>
      <c r="E29" s="180">
        <f>'Phase II - Summary'!D21</f>
        <v>2025</v>
      </c>
      <c r="G29" s="197" t="s">
        <v>894</v>
      </c>
      <c r="I29" s="3"/>
      <c r="J29" s="456">
        <f>'Phase II - Summary'!D28</f>
        <v>5.5E-2</v>
      </c>
      <c r="L29" s="447" t="s">
        <v>440</v>
      </c>
      <c r="M29" s="451"/>
      <c r="N29" s="448"/>
      <c r="O29" s="448">
        <f>SUM('Official Summary Board'!J68:L68)</f>
        <v>378</v>
      </c>
      <c r="Q29" s="512" t="str">
        <f>'Phase I - CF Commercial'!B16</f>
        <v>Base Rent</v>
      </c>
      <c r="R29" s="451"/>
      <c r="S29" s="448"/>
      <c r="T29" s="516">
        <f>'Phase I - CF Commercial'!G16</f>
        <v>40.630000000000003</v>
      </c>
    </row>
    <row r="30" spans="2:20">
      <c r="B30" s="1" t="s">
        <v>774</v>
      </c>
      <c r="C30"/>
      <c r="D30" s="180"/>
      <c r="E30" s="180">
        <f>'Phase II - Summary'!D22</f>
        <v>3</v>
      </c>
      <c r="G30"/>
      <c r="I30" s="3"/>
      <c r="L30" s="96" t="s">
        <v>653</v>
      </c>
      <c r="M30" s="354"/>
      <c r="N30" s="519">
        <f>O30/(O29+O30)</f>
        <v>0.3</v>
      </c>
      <c r="O30" s="446">
        <f>SUM('Official Summary Board'!J69:L69)</f>
        <v>162</v>
      </c>
      <c r="Q30" s="96" t="str">
        <f>'Phase I - CF Commercial'!B17</f>
        <v>Rent Growth</v>
      </c>
      <c r="R30" s="354"/>
      <c r="S30" s="446"/>
      <c r="T30" s="353">
        <f>'Phase I - CF Commercial'!G17</f>
        <v>0.03</v>
      </c>
    </row>
    <row r="31" spans="2:20">
      <c r="B31" t="s">
        <v>775</v>
      </c>
      <c r="C31"/>
      <c r="D31" s="180"/>
      <c r="E31" s="180">
        <f>SUM(E29:E30)</f>
        <v>2028</v>
      </c>
      <c r="G31" s="518" t="s">
        <v>806</v>
      </c>
      <c r="I31" s="3"/>
      <c r="L31" s="96" t="s">
        <v>25</v>
      </c>
      <c r="M31" s="354"/>
      <c r="N31" s="446"/>
      <c r="O31" s="446">
        <f>SUM('Official Summary Board'!J71:L71)</f>
        <v>81</v>
      </c>
      <c r="Q31" s="96" t="str">
        <f>'Phase I - CF Commercial'!B18</f>
        <v>Expense Growth</v>
      </c>
      <c r="R31" s="354"/>
      <c r="S31" s="446"/>
      <c r="T31" s="353">
        <f>'Phase I - CF Commercial'!G18</f>
        <v>0.02</v>
      </c>
    </row>
    <row r="32" spans="2:20">
      <c r="B32" s="1" t="s">
        <v>776</v>
      </c>
      <c r="E32">
        <f>E26</f>
        <v>1</v>
      </c>
      <c r="G32" s="1" t="s">
        <v>869</v>
      </c>
      <c r="I32" s="3"/>
      <c r="J32" s="456">
        <f>'Phase I - Summary'!J35</f>
        <v>7.1500000000000008E-2</v>
      </c>
      <c r="L32" s="96" t="s">
        <v>26</v>
      </c>
      <c r="M32" s="354"/>
      <c r="N32" s="446"/>
      <c r="O32" s="446">
        <f>SUM('Official Summary Board'!J70:L70)</f>
        <v>273</v>
      </c>
      <c r="Q32" s="96" t="str">
        <f>'Phase I - CF Commercial'!B19</f>
        <v>Vacancy Y1</v>
      </c>
      <c r="R32" s="354"/>
      <c r="S32" s="446"/>
      <c r="T32" s="353">
        <f>'Phase I - CF Commercial'!G19</f>
        <v>0.1</v>
      </c>
    </row>
    <row r="33" spans="2:20">
      <c r="B33" t="s">
        <v>404</v>
      </c>
      <c r="C33"/>
      <c r="D33" s="180"/>
      <c r="E33" s="180">
        <f>SUM(E31:E32)</f>
        <v>2029</v>
      </c>
      <c r="G33" s="1" t="str">
        <f>'Phase I - Summary'!F36</f>
        <v>LTC</v>
      </c>
      <c r="J33" s="456">
        <f>'Phase I - Summary'!J36</f>
        <v>0.6</v>
      </c>
      <c r="K33" s="92"/>
      <c r="L33" s="484" t="s">
        <v>790</v>
      </c>
      <c r="M33" s="354"/>
      <c r="N33" s="446"/>
      <c r="O33" s="446">
        <f>SUM('Official Summary Board'!J72:L72)</f>
        <v>360</v>
      </c>
      <c r="Q33" s="96" t="str">
        <f>'Phase I - CF Commercial'!B20</f>
        <v>TI</v>
      </c>
      <c r="R33" s="354"/>
      <c r="S33" s="446"/>
      <c r="T33" s="366">
        <f>'Phase I - CF Commercial'!G20</f>
        <v>50</v>
      </c>
    </row>
    <row r="34" spans="2:20">
      <c r="B34" s="197" t="s">
        <v>678</v>
      </c>
      <c r="C34"/>
      <c r="D34" s="51"/>
      <c r="E34" s="571">
        <v>2</v>
      </c>
      <c r="G34" s="1" t="str">
        <f>'Phase I - Summary'!F38</f>
        <v>Origination Fee</v>
      </c>
      <c r="J34" s="456">
        <f>'Phase I - Summary'!J38</f>
        <v>0.01</v>
      </c>
      <c r="K34" s="354"/>
      <c r="L34" s="483"/>
      <c r="M34" s="38"/>
      <c r="N34" s="38"/>
      <c r="O34" s="38"/>
      <c r="Q34" s="96" t="str">
        <f>'Phase I - CF Commercial'!B21</f>
        <v>LC</v>
      </c>
      <c r="T34" s="515">
        <f>'Phase I - CF Commercial'!G21</f>
        <v>0.06</v>
      </c>
    </row>
    <row r="35" spans="2:20">
      <c r="B35" s="197" t="s">
        <v>786</v>
      </c>
      <c r="C35"/>
      <c r="D35" s="180"/>
      <c r="E35" s="180">
        <f>SUM(E33:E34)</f>
        <v>2031</v>
      </c>
      <c r="Q35" s="96" t="str">
        <f>'Phase I - CF Commercial'!B23</f>
        <v>Exit Cap Rate</v>
      </c>
      <c r="T35" s="515">
        <f>'Phase I - CF Commercial'!G23</f>
        <v>5.5E-2</v>
      </c>
    </row>
    <row r="36" spans="2:20">
      <c r="C36"/>
    </row>
    <row r="37" spans="2:20" ht="14.4">
      <c r="B37" s="10" t="s">
        <v>794</v>
      </c>
      <c r="C37" s="495" t="s">
        <v>32</v>
      </c>
      <c r="D37" s="495" t="s">
        <v>450</v>
      </c>
      <c r="E37" s="495" t="s">
        <v>451</v>
      </c>
      <c r="G37" s="199" t="s">
        <v>457</v>
      </c>
      <c r="H37" s="493" t="s">
        <v>32</v>
      </c>
      <c r="I37" s="493" t="s">
        <v>450</v>
      </c>
      <c r="J37" s="493" t="s">
        <v>451</v>
      </c>
      <c r="L37" s="487" t="s">
        <v>647</v>
      </c>
      <c r="M37" s="494" t="s">
        <v>32</v>
      </c>
      <c r="N37" s="494" t="s">
        <v>450</v>
      </c>
      <c r="O37" s="494" t="s">
        <v>451</v>
      </c>
      <c r="Q37" s="442" t="s">
        <v>803</v>
      </c>
      <c r="R37" s="450"/>
      <c r="S37" s="445"/>
      <c r="T37" s="445"/>
    </row>
    <row r="38" spans="2:20">
      <c r="B38" t="s">
        <v>452</v>
      </c>
      <c r="C38" s="47">
        <f>SUM('Phase II - Summary'!H14,'Phase I - Summary'!H14)</f>
        <v>148677820</v>
      </c>
      <c r="D38" s="17">
        <f t="shared" ref="D38:D44" ca="1" si="0">C38/$C$45</f>
        <v>0.14697693827782241</v>
      </c>
      <c r="E38" s="43">
        <f>C38/'Area Matrix'!$D$16</f>
        <v>54.131193976596691</v>
      </c>
      <c r="G38" t="s">
        <v>452</v>
      </c>
      <c r="H38" s="47">
        <f>'Phase I - Summary'!H14</f>
        <v>44629803</v>
      </c>
      <c r="I38" s="492">
        <f ca="1">'Phase I - Summary'!I14</f>
        <v>0.12306128764263663</v>
      </c>
      <c r="J38" s="47">
        <f>'Phase I - Summary'!J14</f>
        <v>41.256887425422043</v>
      </c>
      <c r="L38" t="s">
        <v>452</v>
      </c>
      <c r="M38" s="47">
        <f>'Phase II - Summary'!H14</f>
        <v>104048017</v>
      </c>
      <c r="N38" s="492">
        <f ca="1">'Phase II - Summary'!I14</f>
        <v>0.16034294797196069</v>
      </c>
      <c r="O38" s="47">
        <f>'Phase II - Summary'!J14</f>
        <v>62.496331236267665</v>
      </c>
      <c r="Q38" s="512" t="str">
        <f>'Phase I - CF Retail'!B18</f>
        <v>Base Rent</v>
      </c>
      <c r="R38" s="451"/>
      <c r="S38" s="448"/>
      <c r="T38" s="516">
        <f>'Phase I - CF Retail'!G18</f>
        <v>30.58</v>
      </c>
    </row>
    <row r="39" spans="2:20">
      <c r="B39" t="s">
        <v>395</v>
      </c>
      <c r="C39" s="47">
        <f>SUM('Phase II - Summary'!H15,'Phase I - Summary'!H15)</f>
        <v>491625293</v>
      </c>
      <c r="D39" s="17">
        <f t="shared" ca="1" si="0"/>
        <v>0.48600107497592687</v>
      </c>
      <c r="E39" s="43">
        <f>C39/'Area Matrix'!$D$16</f>
        <v>178.992832281131</v>
      </c>
      <c r="G39" t="s">
        <v>395</v>
      </c>
      <c r="H39" s="47">
        <f>'Phase I - Summary'!H15</f>
        <v>191051540</v>
      </c>
      <c r="I39" s="492">
        <f ca="1">'Phase I - Summary'!I15</f>
        <v>0.52680153032512145</v>
      </c>
      <c r="J39" s="47">
        <f>'Phase I - Summary'!J15</f>
        <v>176.6127418988051</v>
      </c>
      <c r="L39" t="s">
        <v>395</v>
      </c>
      <c r="M39" s="47">
        <f>'Phase II - Summary'!H15</f>
        <v>300573753</v>
      </c>
      <c r="N39" s="492">
        <f ca="1">'Phase II - Summary'!I15</f>
        <v>0.46319846383055974</v>
      </c>
      <c r="O39" s="47">
        <f>'Phase II - Summary'!J15</f>
        <v>180.53930646670662</v>
      </c>
      <c r="Q39" s="96" t="str">
        <f>'Phase I - CF Retail'!B19</f>
        <v>Rent Growth</v>
      </c>
      <c r="R39" s="354"/>
      <c r="S39" s="446"/>
      <c r="T39" s="515">
        <f>'Phase I - CF Retail'!G19</f>
        <v>0.03</v>
      </c>
    </row>
    <row r="40" spans="2:20">
      <c r="B40" t="s">
        <v>410</v>
      </c>
      <c r="C40" s="47">
        <f>SUM('Phase II - Summary'!H16,'Phase I - Summary'!H16)</f>
        <v>122906323.25</v>
      </c>
      <c r="D40" s="17">
        <f t="shared" ca="1" si="0"/>
        <v>0.12150026874398172</v>
      </c>
      <c r="E40" s="43">
        <f>C40/'Area Matrix'!$D$16</f>
        <v>44.74820807028275</v>
      </c>
      <c r="G40" t="s">
        <v>410</v>
      </c>
      <c r="H40" s="47">
        <f>'Phase I - Summary'!H16</f>
        <v>47762885</v>
      </c>
      <c r="I40" s="492">
        <f ca="1">'Phase I - Summary'!I16</f>
        <v>0.13170038258128036</v>
      </c>
      <c r="J40" s="47">
        <f>'Phase I - Summary'!J16</f>
        <v>44.153185474701274</v>
      </c>
      <c r="L40" t="s">
        <v>410</v>
      </c>
      <c r="M40" s="47">
        <f>'Phase II - Summary'!H16</f>
        <v>75143438.25</v>
      </c>
      <c r="N40" s="492">
        <f ca="1">'Phase II - Summary'!I16</f>
        <v>0.11579961595763993</v>
      </c>
      <c r="O40" s="47">
        <f>'Phase II - Summary'!J16</f>
        <v>45.134826616676655</v>
      </c>
      <c r="Q40" s="96" t="str">
        <f>'Phase I - CF Retail'!B20</f>
        <v>Expense Growth</v>
      </c>
      <c r="R40" s="354"/>
      <c r="S40" s="446"/>
      <c r="T40" s="515">
        <f>'Phase I - CF Retail'!G20</f>
        <v>0.02</v>
      </c>
    </row>
    <row r="41" spans="2:20">
      <c r="B41" s="1" t="s">
        <v>9</v>
      </c>
      <c r="C41" s="47">
        <f>SUM('Phase II - Summary'!H17,'Phase I - Summary'!H17)</f>
        <v>37418066.610690325</v>
      </c>
      <c r="D41" s="17">
        <f t="shared" ca="1" si="0"/>
        <v>3.6990002050843088E-2</v>
      </c>
      <c r="E41" s="43">
        <f>C41/'Area Matrix'!$D$16</f>
        <v>13.62331396796438</v>
      </c>
      <c r="G41" s="1" t="s">
        <v>9</v>
      </c>
      <c r="H41" s="47">
        <f>'Phase I - Summary'!H17</f>
        <v>20766797.699999999</v>
      </c>
      <c r="I41" s="492">
        <f ca="1">'Phase I - Summary'!I17</f>
        <v>5.7261934702605446E-2</v>
      </c>
      <c r="J41" s="47">
        <f>'Phase I - Summary'!J17</f>
        <v>19.197338489157424</v>
      </c>
      <c r="L41" s="1" t="s">
        <v>9</v>
      </c>
      <c r="M41" s="47">
        <f>'Phase II - Summary'!H17</f>
        <v>16651268.91069033</v>
      </c>
      <c r="N41" s="492">
        <f ca="1">'Phase II - Summary'!I17</f>
        <v>2.5660398166107733E-2</v>
      </c>
      <c r="O41" s="47">
        <f>'Phase II - Summary'!J17</f>
        <v>10.001567039443612</v>
      </c>
      <c r="Q41" s="96" t="str">
        <f>'Phase I - CF Retail'!B21</f>
        <v>Vacancy Y1</v>
      </c>
      <c r="R41" s="354"/>
      <c r="S41" s="446"/>
      <c r="T41" s="515">
        <f>'Phase I - CF Retail'!G21</f>
        <v>0.1</v>
      </c>
    </row>
    <row r="42" spans="2:20">
      <c r="B42" s="1" t="s">
        <v>867</v>
      </c>
      <c r="C42" s="47">
        <f>SUM('Phase II - Summary'!H18,'Phase I - Summary'!H18)</f>
        <v>24018825.085820708</v>
      </c>
      <c r="D42" s="17">
        <f t="shared" ca="1" si="0"/>
        <v>2.3744048521457221E-2</v>
      </c>
      <c r="E42" s="43">
        <f>C42/'Area Matrix'!$D$16</f>
        <v>8.7448664488792431</v>
      </c>
      <c r="G42" s="1" t="s">
        <v>867</v>
      </c>
      <c r="H42" s="47">
        <f>'Phase I - Summary'!H18</f>
        <v>9126330.7709999997</v>
      </c>
      <c r="I42" s="492">
        <f ca="1">'Phase I - Summary'!I18</f>
        <v>2.5164754057549317E-2</v>
      </c>
      <c r="J42" s="47">
        <f>'Phase I - Summary'!J18</f>
        <v>8.4366045986425746</v>
      </c>
      <c r="L42" s="1" t="s">
        <v>867</v>
      </c>
      <c r="M42" s="47">
        <f>'Phase II - Summary'!H18</f>
        <v>14892494.314820709</v>
      </c>
      <c r="N42" s="492">
        <f ca="1">'Phase II - Summary'!I18</f>
        <v>2.2950042777788043E-2</v>
      </c>
      <c r="O42" s="47">
        <f>'Phase II - Summary'!J18</f>
        <v>8.945160940772837</v>
      </c>
      <c r="Q42" s="96" t="str">
        <f>'Phase I - CF Retail'!B22</f>
        <v>TI</v>
      </c>
      <c r="R42" s="354"/>
      <c r="S42" s="446"/>
      <c r="T42" s="366">
        <f>'Phase I - CF Retail'!G22</f>
        <v>15</v>
      </c>
    </row>
    <row r="43" spans="2:20">
      <c r="B43" t="s">
        <v>426</v>
      </c>
      <c r="C43" s="47">
        <f ca="1">SUM('Phase II - Summary'!H19,'Phase I - Summary'!H19)</f>
        <v>6393889.2459006831</v>
      </c>
      <c r="D43" s="17">
        <f t="shared" ca="1" si="0"/>
        <v>6.3207428320510564E-3</v>
      </c>
      <c r="E43" s="43">
        <f ca="1">C43/'Area Matrix'!$D$16</f>
        <v>2.3279118501651785</v>
      </c>
      <c r="G43" t="s">
        <v>426</v>
      </c>
      <c r="H43" s="47">
        <f ca="1">'Phase I - Summary'!H19</f>
        <v>2175979.3281020699</v>
      </c>
      <c r="I43" s="492">
        <f ca="1">'Phase I - Summary'!I19</f>
        <v>6.0000000000000001E-3</v>
      </c>
      <c r="J43" s="47">
        <f ca="1">'Phase I - Summary'!J19</f>
        <v>2.011528802391366</v>
      </c>
      <c r="L43" t="s">
        <v>426</v>
      </c>
      <c r="M43" s="47">
        <f ca="1">'Phase II - Summary'!H19</f>
        <v>4217909.9177986132</v>
      </c>
      <c r="N43" s="492">
        <f ca="1">'Phase II - Summary'!I19</f>
        <v>6.5000000000000006E-3</v>
      </c>
      <c r="O43" s="47">
        <f ca="1">'Phase II - Summary'!J19</f>
        <v>2.5334831258483343</v>
      </c>
      <c r="Q43" s="96" t="str">
        <f>'Phase I - CF Retail'!B23</f>
        <v>LC</v>
      </c>
      <c r="T43" s="515">
        <f>'Phase I - CF Retail'!G23</f>
        <v>0.06</v>
      </c>
    </row>
    <row r="44" spans="2:20">
      <c r="B44" s="1" t="s">
        <v>868</v>
      </c>
      <c r="C44" s="47">
        <f ca="1">SUM('Phase II - Summary'!H20,'Phase I - Summary'!H20)</f>
        <v>180532222.28079671</v>
      </c>
      <c r="D44" s="17">
        <f t="shared" ca="1" si="0"/>
        <v>0.17846692459791766</v>
      </c>
      <c r="E44" s="43">
        <f ca="1">C44/'Area Matrix'!$D$16</f>
        <v>65.728867582991711</v>
      </c>
      <c r="G44" t="s">
        <v>398</v>
      </c>
      <c r="H44" s="47">
        <f ca="1">'Phase I - Summary'!H20</f>
        <v>47149885.551242873</v>
      </c>
      <c r="I44" s="492">
        <f ca="1">'Phase I - Summary'!I20</f>
        <v>0.13001011069080667</v>
      </c>
      <c r="J44" s="47">
        <f ca="1">'Phase I - Summary'!J20</f>
        <v>43.586513709441213</v>
      </c>
      <c r="L44" t="s">
        <v>398</v>
      </c>
      <c r="M44" s="47">
        <f ca="1">'Phase II - Summary'!H20</f>
        <v>133382336.72955382</v>
      </c>
      <c r="N44" s="492">
        <f ca="1">'Phase II - Summary'!I20</f>
        <v>0.20554853129594378</v>
      </c>
      <c r="O44" s="47">
        <f ca="1">'Phase II - Summary'!J20</f>
        <v>80.115959320181815</v>
      </c>
      <c r="Q44" s="95" t="s">
        <v>390</v>
      </c>
      <c r="T44" s="515">
        <f>'Phase I - CF Retail'!G25</f>
        <v>0.05</v>
      </c>
    </row>
    <row r="45" spans="2:20" ht="14.4">
      <c r="B45" s="8" t="s">
        <v>453</v>
      </c>
      <c r="C45" s="44">
        <f ca="1">SUM(C38:C44)</f>
        <v>1011572439.4732084</v>
      </c>
      <c r="D45" s="437">
        <f ca="1">SUM(D38:D44)</f>
        <v>1</v>
      </c>
      <c r="E45" s="45"/>
      <c r="G45" s="8" t="s">
        <v>453</v>
      </c>
      <c r="H45" s="44">
        <f ca="1">SUM(H38:H44)</f>
        <v>362663221.35034496</v>
      </c>
      <c r="I45" s="437">
        <f ca="1">SUM(I38:I44)</f>
        <v>1</v>
      </c>
      <c r="J45" s="45"/>
      <c r="L45" s="8" t="s">
        <v>453</v>
      </c>
      <c r="M45" s="44">
        <f ca="1">SUM(M38:M44)</f>
        <v>648909218.12286353</v>
      </c>
      <c r="N45" s="437">
        <f ca="1">SUM(N38:N44)</f>
        <v>0.99999999999999989</v>
      </c>
      <c r="O45" s="45"/>
    </row>
    <row r="46" spans="2:20">
      <c r="E46" s="3"/>
      <c r="G46"/>
      <c r="J46" s="3"/>
      <c r="L46"/>
      <c r="M46" s="3"/>
      <c r="O46" s="3"/>
    </row>
    <row r="47" spans="2:20" ht="14.4">
      <c r="B47" s="442" t="s">
        <v>499</v>
      </c>
      <c r="C47" s="443" t="s">
        <v>32</v>
      </c>
      <c r="D47" s="443" t="s">
        <v>450</v>
      </c>
      <c r="E47" s="443"/>
      <c r="G47" s="199" t="s">
        <v>454</v>
      </c>
      <c r="H47" s="493" t="s">
        <v>32</v>
      </c>
      <c r="I47" s="493" t="s">
        <v>450</v>
      </c>
      <c r="J47" s="486"/>
      <c r="L47" s="487" t="s">
        <v>648</v>
      </c>
      <c r="M47" s="494" t="s">
        <v>32</v>
      </c>
      <c r="N47" s="494" t="s">
        <v>450</v>
      </c>
      <c r="O47" s="488"/>
      <c r="Q47" s="442" t="s">
        <v>804</v>
      </c>
      <c r="R47" s="450"/>
      <c r="S47" s="445"/>
      <c r="T47" s="445"/>
    </row>
    <row r="48" spans="2:20">
      <c r="B48" s="4" t="s">
        <v>28</v>
      </c>
      <c r="C48" s="457">
        <f ca="1">SUM('Phase II - Summary'!H24,'Phase I - Summary'!H24)</f>
        <v>217869029.45698968</v>
      </c>
      <c r="D48" s="575">
        <f t="shared" ref="D48:D53" ca="1" si="1">C48/$C$54</f>
        <v>0.215376596826272</v>
      </c>
      <c r="E48" s="238"/>
      <c r="G48" s="1" t="s">
        <v>28</v>
      </c>
      <c r="H48" s="47">
        <f ca="1">'Phase I - Summary'!H24</f>
        <v>58864588.807418227</v>
      </c>
      <c r="I48" s="492">
        <f ca="1">'Phase I - Summary'!I24</f>
        <v>0.16231198903556046</v>
      </c>
      <c r="J48" s="47"/>
      <c r="L48" s="1" t="s">
        <v>28</v>
      </c>
      <c r="M48" s="47">
        <f ca="1">'Phase II - Summary'!H24</f>
        <v>159004440.64957145</v>
      </c>
      <c r="N48" s="492">
        <f ca="1">'Phase II - Summary'!I24</f>
        <v>0.24503341331709327</v>
      </c>
      <c r="O48" s="3"/>
      <c r="Q48" s="512" t="str">
        <f>'Phase II - CF Hotel'!B16</f>
        <v>Average Room Size</v>
      </c>
      <c r="R48" s="451"/>
      <c r="S48" s="448"/>
      <c r="T48" s="517">
        <f>'Phase II - CF Hotel'!G16</f>
        <v>500</v>
      </c>
    </row>
    <row r="49" spans="2:20">
      <c r="B49" s="197" t="s">
        <v>673</v>
      </c>
      <c r="C49" s="47">
        <f ca="1">'Phase I - Summary'!H25</f>
        <v>55528895.184312232</v>
      </c>
      <c r="D49" s="17">
        <f t="shared" ca="1" si="1"/>
        <v>5.4893641836693111E-2</v>
      </c>
      <c r="E49" s="366"/>
      <c r="G49" s="197" t="s">
        <v>673</v>
      </c>
      <c r="H49" s="47">
        <f ca="1">'Phase I - Summary'!H25</f>
        <v>55528895.184312232</v>
      </c>
      <c r="I49" s="492">
        <f ca="1">'Phase I - Summary'!I25</f>
        <v>0.15311421703462297</v>
      </c>
      <c r="J49" s="204"/>
      <c r="L49" s="197" t="s">
        <v>652</v>
      </c>
      <c r="M49" s="47">
        <f ca="1">'Phase II - Summary'!H25</f>
        <v>23307487.187751781</v>
      </c>
      <c r="N49" s="492">
        <f ca="1">'Phase II - Summary'!I25</f>
        <v>3.5917947436738026E-2</v>
      </c>
      <c r="O49" s="203"/>
      <c r="Q49" s="96" t="str">
        <f>'Phase II - CF Hotel'!B17</f>
        <v>Average Daily Rate</v>
      </c>
      <c r="R49" s="354"/>
      <c r="S49" s="446"/>
      <c r="T49" s="366">
        <f>'Phase II - CF Hotel'!G17</f>
        <v>130</v>
      </c>
    </row>
    <row r="50" spans="2:20">
      <c r="B50" s="1" t="s">
        <v>652</v>
      </c>
      <c r="C50" s="47">
        <f ca="1">SUM('Phase I - Summary'!H26,'Phase II - Summary'!H25)</f>
        <v>41346872.972602904</v>
      </c>
      <c r="D50" s="17">
        <f t="shared" ca="1" si="1"/>
        <v>4.0873862670808732E-2</v>
      </c>
      <c r="E50" s="366"/>
      <c r="G50" s="1" t="s">
        <v>652</v>
      </c>
      <c r="H50" s="47">
        <f ca="1">'Phase I - Summary'!H26</f>
        <v>18039385.784851126</v>
      </c>
      <c r="I50" s="492">
        <f ca="1">'Phase I - Summary'!I26</f>
        <v>4.9741425992089972E-2</v>
      </c>
      <c r="J50" s="204"/>
      <c r="L50" s="197" t="s">
        <v>727</v>
      </c>
      <c r="M50" s="47">
        <f ca="1">'Phase II - Summary'!H26</f>
        <v>33306298.505678989</v>
      </c>
      <c r="N50" s="492">
        <f ca="1">'Phase II - Summary'!I26</f>
        <v>5.1326591725767139E-2</v>
      </c>
      <c r="O50" s="3"/>
      <c r="Q50" s="96" t="str">
        <f>'Phase II - CF Hotel'!B18</f>
        <v>ADR Growth</v>
      </c>
      <c r="R50" s="354"/>
      <c r="S50" s="446"/>
      <c r="T50" s="515">
        <f>'Phase II - CF Hotel'!G18</f>
        <v>0.03</v>
      </c>
    </row>
    <row r="51" spans="2:20">
      <c r="B51" s="1" t="s">
        <v>727</v>
      </c>
      <c r="C51" s="47">
        <f ca="1">SUM('Phase I - Summary'!H27,'Phase II - Summary'!H26)</f>
        <v>34438717.269235387</v>
      </c>
      <c r="D51" s="17">
        <f t="shared" ca="1" si="1"/>
        <v>3.4044736615372662E-2</v>
      </c>
      <c r="E51" s="366"/>
      <c r="G51" s="1" t="s">
        <v>727</v>
      </c>
      <c r="H51" s="47">
        <f ca="1">'Phase I - Summary'!H27</f>
        <v>1132418.7635563954</v>
      </c>
      <c r="I51" s="492">
        <f ca="1">'Phase I - Summary'!I27</f>
        <v>3.1225078720139659E-3</v>
      </c>
      <c r="J51" s="204"/>
      <c r="L51" s="197" t="s">
        <v>730</v>
      </c>
      <c r="M51" s="47">
        <f>'Phase II - Summary'!H27</f>
        <v>11500000</v>
      </c>
      <c r="N51" s="492">
        <f ca="1">'Phase II - Summary'!I27</f>
        <v>1.7722047520401546E-2</v>
      </c>
      <c r="O51" s="203"/>
      <c r="Q51" s="96" t="str">
        <f>'Phase II - CF Hotel'!B19</f>
        <v>Average Occupancy</v>
      </c>
      <c r="R51" s="354"/>
      <c r="S51" s="446"/>
      <c r="T51" s="515">
        <f>'Phase II - CF Hotel'!G19</f>
        <v>0.7</v>
      </c>
    </row>
    <row r="52" spans="2:20">
      <c r="B52" s="197" t="s">
        <v>730</v>
      </c>
      <c r="C52" s="47">
        <f>SUM('Phase I - Summary'!H28,'Phase II - Summary'!H27)</f>
        <v>23000000</v>
      </c>
      <c r="D52" s="576">
        <f t="shared" ca="1" si="1"/>
        <v>2.2736878845747908E-2</v>
      </c>
      <c r="E52" s="366"/>
      <c r="G52" s="197" t="s">
        <v>730</v>
      </c>
      <c r="H52" s="47">
        <f>'Phase I - Summary'!H28</f>
        <v>11500000</v>
      </c>
      <c r="I52" s="492">
        <f ca="1">'Phase I - Summary'!I28</f>
        <v>3.1709860065712622E-2</v>
      </c>
      <c r="J52" s="204"/>
      <c r="L52" s="1" t="s">
        <v>424</v>
      </c>
      <c r="M52" s="47">
        <f ca="1">'Phase II - Summary'!H28</f>
        <v>421790991.77986133</v>
      </c>
      <c r="N52" s="492">
        <f ca="1">'Phase II - Summary'!I28</f>
        <v>0.65</v>
      </c>
      <c r="O52" s="3"/>
      <c r="Q52" s="96" t="str">
        <f>'Phase II - CF Hotel'!B20</f>
        <v>Management Fee</v>
      </c>
      <c r="R52" s="354"/>
      <c r="S52" s="446"/>
      <c r="T52" s="515">
        <f>'Phase II - CF Hotel'!G20</f>
        <v>0.03</v>
      </c>
    </row>
    <row r="53" spans="2:20">
      <c r="B53" s="1" t="s">
        <v>424</v>
      </c>
      <c r="C53" s="47">
        <f ca="1">SUM('Phase I - Summary'!H29,'Phase II - Summary'!H28)</f>
        <v>639388924.59006834</v>
      </c>
      <c r="D53" s="17">
        <f t="shared" ca="1" si="1"/>
        <v>0.63207428320510561</v>
      </c>
      <c r="E53" s="366"/>
      <c r="G53" s="1" t="s">
        <v>424</v>
      </c>
      <c r="H53" s="47">
        <f ca="1">'Phase I - Summary'!H29</f>
        <v>217597932.81020698</v>
      </c>
      <c r="I53" s="492">
        <f ca="1">'Phase I - Summary'!I29</f>
        <v>0.6</v>
      </c>
      <c r="J53" s="204"/>
      <c r="N53" s="455"/>
      <c r="Q53" s="96" t="str">
        <f>'Phase II - CF Hotel'!B22</f>
        <v>Expense Growth</v>
      </c>
      <c r="R53" s="92"/>
      <c r="S53" s="92"/>
      <c r="T53" s="515">
        <f>'Phase II - CF Hotel'!G22</f>
        <v>0.02</v>
      </c>
    </row>
    <row r="54" spans="2:20" ht="15" thickBot="1">
      <c r="B54" s="8" t="s">
        <v>458</v>
      </c>
      <c r="C54" s="438">
        <f ca="1">SUM(C48:C53)</f>
        <v>1011572439.4732085</v>
      </c>
      <c r="D54" s="439">
        <f ca="1">SUM(D48:D53)</f>
        <v>1</v>
      </c>
      <c r="E54" s="439"/>
      <c r="G54" s="8" t="s">
        <v>458</v>
      </c>
      <c r="H54" s="438">
        <f ca="1">SUM(H48:H53)</f>
        <v>362663221.35034496</v>
      </c>
      <c r="I54" s="439">
        <f ca="1">SUM(I48:I53)</f>
        <v>1</v>
      </c>
      <c r="J54" s="485"/>
      <c r="L54" s="8" t="s">
        <v>458</v>
      </c>
      <c r="M54" s="438">
        <f ca="1">SUM(M48:M52)</f>
        <v>648909218.12286353</v>
      </c>
      <c r="N54" s="439">
        <f ca="1">SUM(N48:N52)</f>
        <v>1</v>
      </c>
      <c r="O54" s="49"/>
      <c r="Q54" s="1" t="s">
        <v>390</v>
      </c>
      <c r="T54" s="456">
        <f>'Phase II - CF Hotel'!G24</f>
        <v>7.0000000000000007E-2</v>
      </c>
    </row>
    <row r="55" spans="2:20" ht="13.8" thickBot="1">
      <c r="B55" s="56" t="s">
        <v>634</v>
      </c>
      <c r="C55" s="205">
        <f ca="1">SUM(C48:C53)-C45</f>
        <v>0</v>
      </c>
    </row>
  </sheetData>
  <pageMargins left="0.7" right="0.7" top="0.75" bottom="0.75" header="0.3" footer="0.3"/>
  <pageSetup paperSize="3" scale="79" fitToHeight="0" orientation="landscape" r:id="rId1"/>
  <headerFooter>
    <oddHeader xml:space="preserve">&amp;L2019 ULI Hines Student Competition&amp;R2019-331 &amp;A 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77317-8220-40CE-850D-F720075B7F5B}">
  <sheetPr>
    <tabColor rgb="FFFFC000"/>
  </sheetPr>
  <dimension ref="A8:AK87"/>
  <sheetViews>
    <sheetView showGridLines="0" view="pageBreakPreview" zoomScale="80" zoomScaleNormal="100" zoomScaleSheetLayoutView="80" workbookViewId="0"/>
  </sheetViews>
  <sheetFormatPr defaultColWidth="12.44140625" defaultRowHeight="15.6"/>
  <cols>
    <col min="1" max="1" width="1.77734375" style="58" customWidth="1"/>
    <col min="2" max="3" width="1.88671875" style="58" customWidth="1"/>
    <col min="4" max="4" width="6.44140625" style="58" bestFit="1" customWidth="1"/>
    <col min="5" max="5" width="12.44140625" style="58"/>
    <col min="6" max="6" width="16.77734375" style="58" bestFit="1" customWidth="1"/>
    <col min="7" max="7" width="17.44140625" style="58" bestFit="1" customWidth="1"/>
    <col min="8" max="18" width="14.6640625" style="58" bestFit="1" customWidth="1"/>
    <col min="19" max="19" width="15.21875" style="58" bestFit="1" customWidth="1"/>
    <col min="20" max="20" width="14.33203125" style="221" customWidth="1"/>
    <col min="21" max="21" width="13.33203125" style="58" bestFit="1" customWidth="1"/>
    <col min="22" max="16384" width="12.44140625" style="58"/>
  </cols>
  <sheetData>
    <row r="8" spans="1:21">
      <c r="B8" s="410" t="s">
        <v>762</v>
      </c>
    </row>
    <row r="9" spans="1:21">
      <c r="B9" s="411" t="s">
        <v>765</v>
      </c>
    </row>
    <row r="10" spans="1:21">
      <c r="T10" s="221" t="s">
        <v>672</v>
      </c>
      <c r="U10" s="212" t="s">
        <v>663</v>
      </c>
    </row>
    <row r="11" spans="1:21">
      <c r="A11" s="58" t="s">
        <v>472</v>
      </c>
      <c r="B11" s="242" t="s">
        <v>473</v>
      </c>
      <c r="C11" s="244"/>
      <c r="D11" s="244"/>
      <c r="E11" s="244"/>
      <c r="F11" s="244"/>
      <c r="G11" s="244"/>
      <c r="I11" s="242" t="s">
        <v>474</v>
      </c>
      <c r="J11" s="242"/>
      <c r="K11" s="242"/>
      <c r="L11" s="242"/>
      <c r="M11" s="242"/>
      <c r="O11" s="242" t="s">
        <v>475</v>
      </c>
      <c r="P11" s="242"/>
      <c r="Q11" s="242"/>
      <c r="R11" s="242"/>
      <c r="T11" s="222" t="s">
        <v>659</v>
      </c>
      <c r="U11" s="217">
        <f>'Area Matrix'!F20</f>
        <v>0.3</v>
      </c>
    </row>
    <row r="12" spans="1:21">
      <c r="B12" s="58" t="s">
        <v>476</v>
      </c>
      <c r="G12" s="163">
        <f>ROUNDDOWN(G15/G16,0)</f>
        <v>162</v>
      </c>
      <c r="I12" s="60" t="s">
        <v>477</v>
      </c>
      <c r="L12" s="213" t="s">
        <v>658</v>
      </c>
      <c r="O12" s="58" t="s">
        <v>478</v>
      </c>
      <c r="R12" s="61">
        <f ca="1">AVERAGE(G23:G25)</f>
        <v>22144531.667667326</v>
      </c>
      <c r="T12" s="222" t="s">
        <v>660</v>
      </c>
      <c r="U12" s="218">
        <f>'Area Matrix'!L58</f>
        <v>11968584.900193891</v>
      </c>
    </row>
    <row r="13" spans="1:21">
      <c r="B13" s="58" t="s">
        <v>479</v>
      </c>
      <c r="F13" s="62"/>
      <c r="G13" s="99">
        <f>'Area Matrix'!D43</f>
        <v>191508.6</v>
      </c>
      <c r="I13" s="58" t="s">
        <v>721</v>
      </c>
      <c r="L13" s="587">
        <v>0.4</v>
      </c>
      <c r="M13" s="214">
        <f>L13*'Phase I - CF MF Market Rental'!M14</f>
        <v>600</v>
      </c>
      <c r="O13" s="58" t="s">
        <v>460</v>
      </c>
      <c r="R13" s="578">
        <v>5.6000000000000001E-2</v>
      </c>
      <c r="T13" s="222" t="s">
        <v>661</v>
      </c>
      <c r="U13" s="218">
        <f ca="1">SUM('Area Matrix'!D58,'Area Matrix'!H58,'Area Matrix'!P58,'Area Matrix'!T58)</f>
        <v>58558435.38861981</v>
      </c>
    </row>
    <row r="14" spans="1:21">
      <c r="B14" s="58" t="s">
        <v>625</v>
      </c>
      <c r="G14" s="211">
        <f>'Phase II - CF MF Market Rental'!G14</f>
        <v>0.85</v>
      </c>
      <c r="I14" s="58" t="s">
        <v>484</v>
      </c>
      <c r="L14" s="587">
        <v>0.5</v>
      </c>
      <c r="M14" s="214">
        <f>L14*'Phase I - CF MF Market Rental'!M15</f>
        <v>850</v>
      </c>
      <c r="O14" s="58" t="s">
        <v>482</v>
      </c>
      <c r="R14" s="579">
        <v>20</v>
      </c>
      <c r="T14" s="222" t="s">
        <v>662</v>
      </c>
      <c r="U14" s="219" t="s">
        <v>663</v>
      </c>
    </row>
    <row r="15" spans="1:21">
      <c r="B15" s="58" t="s">
        <v>557</v>
      </c>
      <c r="G15" s="162">
        <f>G13*G14</f>
        <v>162782.31</v>
      </c>
      <c r="I15" s="58" t="s">
        <v>487</v>
      </c>
      <c r="M15" s="583">
        <v>0.02</v>
      </c>
      <c r="O15" s="58" t="s">
        <v>485</v>
      </c>
      <c r="R15" s="61">
        <f ca="1">PMT(R13/12,R14*12,R12)</f>
        <v>-153582.84916690591</v>
      </c>
      <c r="S15" s="65"/>
      <c r="T15" s="222" t="s">
        <v>664</v>
      </c>
      <c r="U15" s="220">
        <f>IF(U14="Y", 30%, 0%)</f>
        <v>0.3</v>
      </c>
    </row>
    <row r="16" spans="1:21">
      <c r="B16" s="58" t="s">
        <v>21</v>
      </c>
      <c r="G16" s="210">
        <f>'Phase II - CF MF Market Rental'!G16</f>
        <v>1000</v>
      </c>
      <c r="I16" s="58" t="s">
        <v>489</v>
      </c>
      <c r="M16" s="583">
        <v>0.02</v>
      </c>
      <c r="T16" s="222" t="s">
        <v>665</v>
      </c>
      <c r="U16" s="218">
        <f ca="1">U12+(U13*(100%+U15))</f>
        <v>88094550.905399635</v>
      </c>
    </row>
    <row r="17" spans="2:21">
      <c r="B17" s="58" t="s">
        <v>483</v>
      </c>
      <c r="E17" s="64"/>
      <c r="F17" s="64"/>
      <c r="G17" s="235"/>
      <c r="I17" s="58" t="s">
        <v>490</v>
      </c>
      <c r="M17" s="584">
        <v>6</v>
      </c>
      <c r="O17" s="58" t="s">
        <v>467</v>
      </c>
      <c r="R17" s="581">
        <v>0.7</v>
      </c>
      <c r="T17" s="222" t="s">
        <v>666</v>
      </c>
      <c r="U17" s="580">
        <v>0.09</v>
      </c>
    </row>
    <row r="18" spans="2:21">
      <c r="B18" s="58" t="s">
        <v>486</v>
      </c>
      <c r="G18" s="235">
        <f>'Phase II - CF MF Market Rental'!G18</f>
        <v>0.5</v>
      </c>
      <c r="I18" s="58" t="s">
        <v>492</v>
      </c>
      <c r="M18" s="584">
        <v>29</v>
      </c>
      <c r="O18" s="58" t="s">
        <v>491</v>
      </c>
      <c r="R18" s="582">
        <v>1.33</v>
      </c>
      <c r="T18" s="222" t="s">
        <v>667</v>
      </c>
      <c r="U18" s="218">
        <f ca="1">U16*U17*U11</f>
        <v>2378552.87444579</v>
      </c>
    </row>
    <row r="19" spans="2:21">
      <c r="B19" s="58" t="s">
        <v>488</v>
      </c>
      <c r="G19" s="235">
        <f>1-G18</f>
        <v>0.5</v>
      </c>
      <c r="I19" s="58" t="s">
        <v>494</v>
      </c>
      <c r="M19" s="585">
        <v>0.3</v>
      </c>
      <c r="O19" s="58" t="s">
        <v>493</v>
      </c>
      <c r="R19" s="581">
        <v>0.08</v>
      </c>
      <c r="T19" s="222" t="s">
        <v>668</v>
      </c>
      <c r="U19" s="218">
        <f ca="1">U18*10</f>
        <v>23785528.744457901</v>
      </c>
    </row>
    <row r="20" spans="2:21">
      <c r="B20" s="58" t="s">
        <v>496</v>
      </c>
      <c r="G20" s="99">
        <f>G12/1.5</f>
        <v>108</v>
      </c>
      <c r="I20" s="58" t="s">
        <v>497</v>
      </c>
      <c r="M20" s="583">
        <v>0.02</v>
      </c>
      <c r="O20" s="215"/>
      <c r="P20" s="215"/>
      <c r="Q20" s="215"/>
      <c r="R20" s="216"/>
      <c r="T20" s="222" t="s">
        <v>669</v>
      </c>
      <c r="U20" s="218">
        <f ca="1">U19*99.99%</f>
        <v>23783150.191583451</v>
      </c>
    </row>
    <row r="21" spans="2:21">
      <c r="G21" s="63"/>
      <c r="I21" s="58" t="s">
        <v>728</v>
      </c>
      <c r="M21" s="69">
        <f>Taxes!$X$13</f>
        <v>0.06</v>
      </c>
      <c r="R21" s="67"/>
      <c r="T21" s="222" t="s">
        <v>670</v>
      </c>
      <c r="U21" s="586">
        <v>0.98</v>
      </c>
    </row>
    <row r="22" spans="2:21">
      <c r="B22" s="242" t="s">
        <v>502</v>
      </c>
      <c r="C22" s="242"/>
      <c r="D22" s="242"/>
      <c r="E22" s="242"/>
      <c r="F22" s="242"/>
      <c r="G22" s="242"/>
      <c r="I22" s="58" t="s">
        <v>498</v>
      </c>
      <c r="M22" s="583">
        <v>0.02</v>
      </c>
      <c r="O22" s="242" t="s">
        <v>499</v>
      </c>
      <c r="P22" s="242"/>
      <c r="Q22" s="242"/>
      <c r="R22" s="242"/>
      <c r="T22" s="222" t="s">
        <v>671</v>
      </c>
      <c r="U22" s="218">
        <f ca="1">IF(U10="Y",U20*U21, 0)</f>
        <v>23307487.187751781</v>
      </c>
    </row>
    <row r="23" spans="2:21">
      <c r="B23" s="58" t="s">
        <v>467</v>
      </c>
      <c r="G23" s="74">
        <f ca="1">R17*R29</f>
        <v>49368914.202169597</v>
      </c>
      <c r="I23" s="58" t="s">
        <v>500</v>
      </c>
      <c r="K23" s="68"/>
      <c r="L23" s="587">
        <v>0.5</v>
      </c>
      <c r="M23" s="214">
        <f>L23*'Phase I - CF MF Market Rental'!M24</f>
        <v>960</v>
      </c>
      <c r="O23" s="58" t="s">
        <v>28</v>
      </c>
      <c r="Q23" s="69">
        <f ca="1">R23/$R$26</f>
        <v>0.35553751357579677</v>
      </c>
      <c r="R23" s="61">
        <f ca="1">R26-R25-R24</f>
        <v>25075001.4333946</v>
      </c>
    </row>
    <row r="24" spans="2:21">
      <c r="B24" s="58" t="s">
        <v>491</v>
      </c>
      <c r="G24" s="61">
        <f>H57/R19</f>
        <v>9905557.8750000019</v>
      </c>
      <c r="I24" s="58" t="s">
        <v>501</v>
      </c>
      <c r="K24" s="68"/>
      <c r="M24" s="583">
        <v>0.1</v>
      </c>
      <c r="O24" s="58" t="s">
        <v>652</v>
      </c>
      <c r="Q24" s="69">
        <f t="shared" ref="Q24:Q25" ca="1" si="0">R24/$R$26</f>
        <v>0.33047599476492534</v>
      </c>
      <c r="R24" s="61">
        <f ca="1">U22</f>
        <v>23307487.187751781</v>
      </c>
    </row>
    <row r="25" spans="2:21">
      <c r="B25" s="58" t="s">
        <v>493</v>
      </c>
      <c r="G25" s="61">
        <f>PV(R13/12,R14*12,-H57/R18/12,0)</f>
        <v>7159122.9258323722</v>
      </c>
      <c r="I25" s="58" t="s">
        <v>503</v>
      </c>
      <c r="K25" s="68"/>
      <c r="M25" s="579">
        <v>10</v>
      </c>
      <c r="O25" s="70" t="s">
        <v>478</v>
      </c>
      <c r="P25" s="70"/>
      <c r="Q25" s="69">
        <f t="shared" ca="1" si="0"/>
        <v>0.31398649165927783</v>
      </c>
      <c r="R25" s="72">
        <f ca="1">R12</f>
        <v>22144531.667667326</v>
      </c>
    </row>
    <row r="26" spans="2:21">
      <c r="G26" s="73"/>
      <c r="I26" s="58" t="s">
        <v>504</v>
      </c>
      <c r="K26" s="68"/>
      <c r="M26" s="583">
        <v>0.08</v>
      </c>
      <c r="O26" s="58" t="s">
        <v>16</v>
      </c>
      <c r="Q26" s="76"/>
      <c r="R26" s="61">
        <f ca="1">R31</f>
        <v>70527020.28881371</v>
      </c>
    </row>
    <row r="27" spans="2:21">
      <c r="I27" s="58" t="s">
        <v>505</v>
      </c>
      <c r="M27" s="578">
        <v>5.6000000000000001E-2</v>
      </c>
    </row>
    <row r="28" spans="2:21">
      <c r="O28" s="242" t="s">
        <v>449</v>
      </c>
      <c r="P28" s="242"/>
      <c r="Q28" s="242"/>
      <c r="R28" s="242"/>
    </row>
    <row r="29" spans="2:21">
      <c r="O29" s="58" t="s">
        <v>506</v>
      </c>
      <c r="R29" s="74">
        <f ca="1">SUM('Area Matrix'!D58,'Area Matrix'!H58,'Area Matrix'!L58,'Area Matrix'!P58,'Area Matrix'!T58)</f>
        <v>70527020.28881371</v>
      </c>
    </row>
    <row r="30" spans="2:21">
      <c r="O30" s="70" t="s">
        <v>507</v>
      </c>
      <c r="P30" s="70"/>
      <c r="Q30" s="70"/>
      <c r="R30" s="588">
        <v>0</v>
      </c>
    </row>
    <row r="31" spans="2:21">
      <c r="O31" s="58" t="s">
        <v>453</v>
      </c>
      <c r="R31" s="61">
        <f ca="1">SUM(R29:R30)</f>
        <v>70527020.28881371</v>
      </c>
    </row>
    <row r="33" spans="1:37">
      <c r="A33" s="58" t="s">
        <v>472</v>
      </c>
      <c r="B33" s="242" t="s">
        <v>508</v>
      </c>
      <c r="C33" s="242"/>
      <c r="D33" s="242"/>
      <c r="E33" s="242"/>
      <c r="F33" s="248"/>
      <c r="G33" s="248">
        <f>F33+1</f>
        <v>1</v>
      </c>
      <c r="H33" s="248">
        <f>G33+1</f>
        <v>2</v>
      </c>
      <c r="I33" s="248">
        <f t="shared" ref="I33:R33" si="1">H33+1</f>
        <v>3</v>
      </c>
      <c r="J33" s="248">
        <f t="shared" si="1"/>
        <v>4</v>
      </c>
      <c r="K33" s="248">
        <f t="shared" si="1"/>
        <v>5</v>
      </c>
      <c r="L33" s="248">
        <f t="shared" si="1"/>
        <v>6</v>
      </c>
      <c r="M33" s="248">
        <f t="shared" si="1"/>
        <v>7</v>
      </c>
      <c r="N33" s="248">
        <f t="shared" si="1"/>
        <v>8</v>
      </c>
      <c r="O33" s="248">
        <f t="shared" si="1"/>
        <v>9</v>
      </c>
      <c r="P33" s="248">
        <f t="shared" si="1"/>
        <v>10</v>
      </c>
      <c r="Q33" s="248">
        <f t="shared" si="1"/>
        <v>11</v>
      </c>
      <c r="R33" s="248">
        <f t="shared" si="1"/>
        <v>12</v>
      </c>
    </row>
    <row r="34" spans="1:37">
      <c r="B34" s="60" t="s">
        <v>509</v>
      </c>
    </row>
    <row r="35" spans="1:37">
      <c r="B35" s="58" t="s">
        <v>720</v>
      </c>
      <c r="G35" s="61">
        <f t="shared" ref="G35:R35" si="2">IF(G33&gt;=$M$17,$M$13*$M$18*$G$18*($L$33),$M$13*$G$18*(G$33*$M$18))</f>
        <v>8700</v>
      </c>
      <c r="H35" s="61">
        <f t="shared" si="2"/>
        <v>17400</v>
      </c>
      <c r="I35" s="61">
        <f t="shared" si="2"/>
        <v>26100</v>
      </c>
      <c r="J35" s="61">
        <f t="shared" si="2"/>
        <v>34800</v>
      </c>
      <c r="K35" s="61">
        <f t="shared" si="2"/>
        <v>43500</v>
      </c>
      <c r="L35" s="61">
        <f t="shared" si="2"/>
        <v>52200</v>
      </c>
      <c r="M35" s="61">
        <f t="shared" si="2"/>
        <v>52200</v>
      </c>
      <c r="N35" s="61">
        <f t="shared" si="2"/>
        <v>52200</v>
      </c>
      <c r="O35" s="61">
        <f t="shared" si="2"/>
        <v>52200</v>
      </c>
      <c r="P35" s="61">
        <f t="shared" si="2"/>
        <v>52200</v>
      </c>
      <c r="Q35" s="61">
        <f t="shared" si="2"/>
        <v>52200</v>
      </c>
      <c r="R35" s="61">
        <f t="shared" si="2"/>
        <v>52200</v>
      </c>
    </row>
    <row r="36" spans="1:37">
      <c r="B36" s="58" t="s">
        <v>512</v>
      </c>
      <c r="G36" s="61">
        <f t="shared" ref="G36:R36" si="3">IF(G33&gt;=$M$17,$M$14*$M$18*$G$19*($L$33),$M$14*$G$19*(G$33*$M$18))</f>
        <v>12325</v>
      </c>
      <c r="H36" s="61">
        <f t="shared" si="3"/>
        <v>24650</v>
      </c>
      <c r="I36" s="61">
        <f t="shared" si="3"/>
        <v>36975</v>
      </c>
      <c r="J36" s="61">
        <f t="shared" si="3"/>
        <v>49300</v>
      </c>
      <c r="K36" s="61">
        <f t="shared" si="3"/>
        <v>61625</v>
      </c>
      <c r="L36" s="61">
        <f t="shared" si="3"/>
        <v>73950</v>
      </c>
      <c r="M36" s="61">
        <f t="shared" si="3"/>
        <v>73950</v>
      </c>
      <c r="N36" s="61">
        <f t="shared" si="3"/>
        <v>73950</v>
      </c>
      <c r="O36" s="61">
        <f t="shared" si="3"/>
        <v>73950</v>
      </c>
      <c r="P36" s="61">
        <f t="shared" si="3"/>
        <v>73950</v>
      </c>
      <c r="Q36" s="61">
        <f t="shared" si="3"/>
        <v>73950</v>
      </c>
      <c r="R36" s="61">
        <f t="shared" si="3"/>
        <v>73950</v>
      </c>
    </row>
    <row r="37" spans="1:37">
      <c r="B37" s="76" t="s">
        <v>16</v>
      </c>
      <c r="C37" s="76"/>
      <c r="D37" s="76"/>
      <c r="E37" s="76"/>
      <c r="F37" s="76"/>
      <c r="G37" s="77">
        <f t="shared" ref="G37:R37" si="4">SUM(G35:G36)</f>
        <v>21025</v>
      </c>
      <c r="H37" s="77">
        <f t="shared" si="4"/>
        <v>42050</v>
      </c>
      <c r="I37" s="77">
        <f t="shared" si="4"/>
        <v>63075</v>
      </c>
      <c r="J37" s="77">
        <f t="shared" si="4"/>
        <v>84100</v>
      </c>
      <c r="K37" s="77">
        <f t="shared" si="4"/>
        <v>105125</v>
      </c>
      <c r="L37" s="77">
        <f t="shared" si="4"/>
        <v>126150</v>
      </c>
      <c r="M37" s="77">
        <f t="shared" si="4"/>
        <v>126150</v>
      </c>
      <c r="N37" s="77">
        <f t="shared" si="4"/>
        <v>126150</v>
      </c>
      <c r="O37" s="77">
        <f t="shared" si="4"/>
        <v>126150</v>
      </c>
      <c r="P37" s="77">
        <f t="shared" si="4"/>
        <v>126150</v>
      </c>
      <c r="Q37" s="77">
        <f t="shared" si="4"/>
        <v>126150</v>
      </c>
      <c r="R37" s="77">
        <f t="shared" si="4"/>
        <v>126150</v>
      </c>
    </row>
    <row r="39" spans="1:37">
      <c r="A39" s="58" t="s">
        <v>472</v>
      </c>
      <c r="B39" s="242" t="s">
        <v>513</v>
      </c>
      <c r="C39" s="242"/>
      <c r="D39" s="242"/>
      <c r="E39" s="242"/>
      <c r="F39" s="242"/>
      <c r="G39" s="590">
        <v>0</v>
      </c>
      <c r="H39" s="243">
        <f>G39+1</f>
        <v>1</v>
      </c>
      <c r="I39" s="243">
        <f t="shared" ref="I39:AK39" si="5">H39+1</f>
        <v>2</v>
      </c>
      <c r="J39" s="243">
        <f t="shared" si="5"/>
        <v>3</v>
      </c>
      <c r="K39" s="243">
        <f t="shared" si="5"/>
        <v>4</v>
      </c>
      <c r="L39" s="243">
        <f t="shared" si="5"/>
        <v>5</v>
      </c>
      <c r="M39" s="243">
        <f t="shared" si="5"/>
        <v>6</v>
      </c>
      <c r="N39" s="243">
        <f t="shared" si="5"/>
        <v>7</v>
      </c>
      <c r="O39" s="243">
        <f t="shared" si="5"/>
        <v>8</v>
      </c>
      <c r="P39" s="243">
        <f t="shared" si="5"/>
        <v>9</v>
      </c>
      <c r="Q39" s="243">
        <f t="shared" si="5"/>
        <v>10</v>
      </c>
      <c r="R39" s="243">
        <f t="shared" si="5"/>
        <v>11</v>
      </c>
      <c r="S39" s="78">
        <f t="shared" si="5"/>
        <v>12</v>
      </c>
      <c r="T39" s="224">
        <f t="shared" si="5"/>
        <v>13</v>
      </c>
      <c r="U39" s="78">
        <f t="shared" si="5"/>
        <v>14</v>
      </c>
      <c r="V39" s="78">
        <f t="shared" si="5"/>
        <v>15</v>
      </c>
      <c r="W39" s="78">
        <f t="shared" si="5"/>
        <v>16</v>
      </c>
      <c r="X39" s="78">
        <f t="shared" si="5"/>
        <v>17</v>
      </c>
      <c r="Y39" s="78">
        <f t="shared" si="5"/>
        <v>18</v>
      </c>
      <c r="Z39" s="78">
        <f t="shared" si="5"/>
        <v>19</v>
      </c>
      <c r="AA39" s="78">
        <f t="shared" si="5"/>
        <v>20</v>
      </c>
      <c r="AB39" s="78">
        <f t="shared" si="5"/>
        <v>21</v>
      </c>
      <c r="AC39" s="78">
        <f t="shared" si="5"/>
        <v>22</v>
      </c>
      <c r="AD39" s="78">
        <f t="shared" si="5"/>
        <v>23</v>
      </c>
      <c r="AE39" s="78">
        <f t="shared" si="5"/>
        <v>24</v>
      </c>
      <c r="AF39" s="78">
        <f t="shared" si="5"/>
        <v>25</v>
      </c>
      <c r="AG39" s="78">
        <f t="shared" si="5"/>
        <v>26</v>
      </c>
      <c r="AH39" s="78">
        <f t="shared" si="5"/>
        <v>27</v>
      </c>
      <c r="AI39" s="78">
        <f t="shared" si="5"/>
        <v>28</v>
      </c>
      <c r="AJ39" s="78">
        <f t="shared" si="5"/>
        <v>29</v>
      </c>
      <c r="AK39" s="78">
        <f t="shared" si="5"/>
        <v>30</v>
      </c>
    </row>
    <row r="40" spans="1:37">
      <c r="B40" s="79" t="s">
        <v>412</v>
      </c>
      <c r="C40" s="79"/>
      <c r="D40" s="79"/>
      <c r="E40" s="79"/>
      <c r="F40" s="79"/>
      <c r="G40" s="79"/>
      <c r="H40" s="80">
        <f t="shared" ref="H40:AK40" si="6">1-$M$15</f>
        <v>0.98</v>
      </c>
      <c r="I40" s="80">
        <f t="shared" si="6"/>
        <v>0.98</v>
      </c>
      <c r="J40" s="80">
        <f t="shared" si="6"/>
        <v>0.98</v>
      </c>
      <c r="K40" s="80">
        <f t="shared" si="6"/>
        <v>0.98</v>
      </c>
      <c r="L40" s="80">
        <f t="shared" si="6"/>
        <v>0.98</v>
      </c>
      <c r="M40" s="80">
        <f t="shared" si="6"/>
        <v>0.98</v>
      </c>
      <c r="N40" s="80">
        <f t="shared" si="6"/>
        <v>0.98</v>
      </c>
      <c r="O40" s="80">
        <f t="shared" si="6"/>
        <v>0.98</v>
      </c>
      <c r="P40" s="80">
        <f t="shared" si="6"/>
        <v>0.98</v>
      </c>
      <c r="Q40" s="80">
        <f t="shared" si="6"/>
        <v>0.98</v>
      </c>
      <c r="R40" s="80">
        <f t="shared" si="6"/>
        <v>0.98</v>
      </c>
      <c r="S40" s="80">
        <f t="shared" si="6"/>
        <v>0.98</v>
      </c>
      <c r="T40" s="225">
        <f t="shared" si="6"/>
        <v>0.98</v>
      </c>
      <c r="U40" s="80">
        <f t="shared" si="6"/>
        <v>0.98</v>
      </c>
      <c r="V40" s="80">
        <f t="shared" si="6"/>
        <v>0.98</v>
      </c>
      <c r="W40" s="80">
        <f t="shared" si="6"/>
        <v>0.98</v>
      </c>
      <c r="X40" s="80">
        <f t="shared" si="6"/>
        <v>0.98</v>
      </c>
      <c r="Y40" s="80">
        <f t="shared" si="6"/>
        <v>0.98</v>
      </c>
      <c r="Z40" s="80">
        <f t="shared" si="6"/>
        <v>0.98</v>
      </c>
      <c r="AA40" s="80">
        <f t="shared" si="6"/>
        <v>0.98</v>
      </c>
      <c r="AB40" s="80">
        <f t="shared" si="6"/>
        <v>0.98</v>
      </c>
      <c r="AC40" s="80">
        <f t="shared" si="6"/>
        <v>0.98</v>
      </c>
      <c r="AD40" s="80">
        <f t="shared" si="6"/>
        <v>0.98</v>
      </c>
      <c r="AE40" s="80">
        <f t="shared" si="6"/>
        <v>0.98</v>
      </c>
      <c r="AF40" s="80">
        <f t="shared" si="6"/>
        <v>0.98</v>
      </c>
      <c r="AG40" s="80">
        <f t="shared" si="6"/>
        <v>0.98</v>
      </c>
      <c r="AH40" s="80">
        <f t="shared" si="6"/>
        <v>0.98</v>
      </c>
      <c r="AI40" s="80">
        <f t="shared" si="6"/>
        <v>0.98</v>
      </c>
      <c r="AJ40" s="80">
        <f t="shared" si="6"/>
        <v>0.98</v>
      </c>
      <c r="AK40" s="80">
        <f t="shared" si="6"/>
        <v>0.98</v>
      </c>
    </row>
    <row r="41" spans="1:37"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226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</row>
    <row r="42" spans="1:37">
      <c r="B42" s="58" t="s">
        <v>506</v>
      </c>
      <c r="G42" s="61">
        <f ca="1">-R31</f>
        <v>-70527020.28881371</v>
      </c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226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</row>
    <row r="44" spans="1:37">
      <c r="B44" s="79" t="s">
        <v>514</v>
      </c>
      <c r="G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227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</row>
    <row r="45" spans="1:37">
      <c r="B45" s="58" t="s">
        <v>722</v>
      </c>
      <c r="G45" s="61"/>
      <c r="H45" s="61">
        <f>SUM(G35:R35)</f>
        <v>495900</v>
      </c>
      <c r="I45" s="61">
        <f t="shared" ref="I45:AK45" si="7">$G$12*$G$18*$M$13*(1+$M$16)^H39*12</f>
        <v>594864</v>
      </c>
      <c r="J45" s="61">
        <f t="shared" si="7"/>
        <v>606761.28</v>
      </c>
      <c r="K45" s="61">
        <f t="shared" si="7"/>
        <v>618896.50559999992</v>
      </c>
      <c r="L45" s="61">
        <f t="shared" si="7"/>
        <v>631274.43571200001</v>
      </c>
      <c r="M45" s="61">
        <f t="shared" si="7"/>
        <v>643899.92442624003</v>
      </c>
      <c r="N45" s="61">
        <f t="shared" si="7"/>
        <v>656777.92291476484</v>
      </c>
      <c r="O45" s="61">
        <f t="shared" si="7"/>
        <v>669913.48137306003</v>
      </c>
      <c r="P45" s="61">
        <f t="shared" si="7"/>
        <v>683311.75100052124</v>
      </c>
      <c r="Q45" s="61">
        <f t="shared" si="7"/>
        <v>696977.98602053174</v>
      </c>
      <c r="R45" s="61">
        <f t="shared" si="7"/>
        <v>710917.54574094235</v>
      </c>
      <c r="S45" s="61">
        <f t="shared" si="7"/>
        <v>725135.89665576105</v>
      </c>
      <c r="T45" s="227">
        <f t="shared" si="7"/>
        <v>739638.61458887649</v>
      </c>
      <c r="U45" s="61">
        <f t="shared" si="7"/>
        <v>754431.38688065391</v>
      </c>
      <c r="V45" s="61">
        <f t="shared" si="7"/>
        <v>769520.01461826707</v>
      </c>
      <c r="W45" s="61">
        <f t="shared" si="7"/>
        <v>784910.41491063219</v>
      </c>
      <c r="X45" s="61">
        <f t="shared" si="7"/>
        <v>800608.62320884503</v>
      </c>
      <c r="Y45" s="61">
        <f t="shared" si="7"/>
        <v>816620.79567302181</v>
      </c>
      <c r="Z45" s="61">
        <f t="shared" si="7"/>
        <v>832953.21158648236</v>
      </c>
      <c r="AA45" s="61">
        <f t="shared" si="7"/>
        <v>849612.27581821196</v>
      </c>
      <c r="AB45" s="61">
        <f t="shared" si="7"/>
        <v>866604.52133457619</v>
      </c>
      <c r="AC45" s="61">
        <f t="shared" si="7"/>
        <v>883936.61176126776</v>
      </c>
      <c r="AD45" s="61">
        <f t="shared" si="7"/>
        <v>901615.34399649291</v>
      </c>
      <c r="AE45" s="61">
        <f t="shared" si="7"/>
        <v>919647.65087642288</v>
      </c>
      <c r="AF45" s="61">
        <f t="shared" si="7"/>
        <v>938040.60389395128</v>
      </c>
      <c r="AG45" s="61">
        <f t="shared" si="7"/>
        <v>956801.41597183025</v>
      </c>
      <c r="AH45" s="61">
        <f t="shared" si="7"/>
        <v>975937.44429126708</v>
      </c>
      <c r="AI45" s="61">
        <f t="shared" si="7"/>
        <v>995456.19317709212</v>
      </c>
      <c r="AJ45" s="61">
        <f t="shared" si="7"/>
        <v>1015365.3170406341</v>
      </c>
      <c r="AK45" s="61">
        <f t="shared" si="7"/>
        <v>1035672.6233814468</v>
      </c>
    </row>
    <row r="46" spans="1:37">
      <c r="B46" s="58" t="s">
        <v>517</v>
      </c>
      <c r="G46" s="61"/>
      <c r="H46" s="61">
        <f>SUM(G36:R36)</f>
        <v>702525</v>
      </c>
      <c r="I46" s="61">
        <f t="shared" ref="I46:AK46" si="8">$G$12*$G$19*$M$14*(1+$M$16)^H39*12</f>
        <v>842724</v>
      </c>
      <c r="J46" s="61">
        <f t="shared" si="8"/>
        <v>859578.48</v>
      </c>
      <c r="K46" s="61">
        <f t="shared" si="8"/>
        <v>876770.04959999991</v>
      </c>
      <c r="L46" s="61">
        <f t="shared" si="8"/>
        <v>894305.45059200004</v>
      </c>
      <c r="M46" s="61">
        <f t="shared" si="8"/>
        <v>912191.55960384</v>
      </c>
      <c r="N46" s="61">
        <f t="shared" si="8"/>
        <v>930435.3907959169</v>
      </c>
      <c r="O46" s="61">
        <f t="shared" si="8"/>
        <v>949044.09861183492</v>
      </c>
      <c r="P46" s="61">
        <f t="shared" si="8"/>
        <v>968024.98058407183</v>
      </c>
      <c r="Q46" s="61">
        <f t="shared" si="8"/>
        <v>987385.48019575328</v>
      </c>
      <c r="R46" s="61">
        <f t="shared" si="8"/>
        <v>1007133.1897996684</v>
      </c>
      <c r="S46" s="61">
        <f t="shared" si="8"/>
        <v>1027275.8535956615</v>
      </c>
      <c r="T46" s="227">
        <f t="shared" si="8"/>
        <v>1047821.3706675749</v>
      </c>
      <c r="U46" s="61">
        <f t="shared" si="8"/>
        <v>1068777.7980809263</v>
      </c>
      <c r="V46" s="61">
        <f t="shared" si="8"/>
        <v>1090153.354042545</v>
      </c>
      <c r="W46" s="61">
        <f t="shared" si="8"/>
        <v>1111956.4211233957</v>
      </c>
      <c r="X46" s="61">
        <f t="shared" si="8"/>
        <v>1134195.5495458636</v>
      </c>
      <c r="Y46" s="61">
        <f t="shared" si="8"/>
        <v>1156879.460536781</v>
      </c>
      <c r="Z46" s="61">
        <f t="shared" si="8"/>
        <v>1180017.0497475164</v>
      </c>
      <c r="AA46" s="61">
        <f t="shared" si="8"/>
        <v>1203617.3907424668</v>
      </c>
      <c r="AB46" s="61">
        <f t="shared" si="8"/>
        <v>1227689.7385573164</v>
      </c>
      <c r="AC46" s="61">
        <f t="shared" si="8"/>
        <v>1252243.5333284624</v>
      </c>
      <c r="AD46" s="61">
        <f t="shared" si="8"/>
        <v>1277288.403995032</v>
      </c>
      <c r="AE46" s="61">
        <f t="shared" si="8"/>
        <v>1302834.1720749321</v>
      </c>
      <c r="AF46" s="61">
        <f t="shared" si="8"/>
        <v>1328890.8555164309</v>
      </c>
      <c r="AG46" s="61">
        <f t="shared" si="8"/>
        <v>1355468.6726267596</v>
      </c>
      <c r="AH46" s="61">
        <f t="shared" si="8"/>
        <v>1382578.0460792948</v>
      </c>
      <c r="AI46" s="61">
        <f t="shared" si="8"/>
        <v>1410229.6070008804</v>
      </c>
      <c r="AJ46" s="61">
        <f t="shared" si="8"/>
        <v>1438434.1991408984</v>
      </c>
      <c r="AK46" s="61">
        <f t="shared" si="8"/>
        <v>1467202.8831237161</v>
      </c>
    </row>
    <row r="47" spans="1:37">
      <c r="B47" s="79" t="s">
        <v>518</v>
      </c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227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</row>
    <row r="48" spans="1:37">
      <c r="B48" s="58" t="s">
        <v>519</v>
      </c>
      <c r="G48" s="61"/>
      <c r="H48" s="61">
        <f t="shared" ref="H48:AK48" si="9">$G$20*$M$23*(1+$M$16)^G39</f>
        <v>103680</v>
      </c>
      <c r="I48" s="61">
        <f t="shared" si="9"/>
        <v>105753.60000000001</v>
      </c>
      <c r="J48" s="61">
        <f t="shared" si="9"/>
        <v>107868.67200000001</v>
      </c>
      <c r="K48" s="61">
        <f t="shared" si="9"/>
        <v>110026.04543999999</v>
      </c>
      <c r="L48" s="61">
        <f t="shared" si="9"/>
        <v>112226.5663488</v>
      </c>
      <c r="M48" s="61">
        <f t="shared" si="9"/>
        <v>114471.09767577601</v>
      </c>
      <c r="N48" s="61">
        <f t="shared" si="9"/>
        <v>116760.51962929152</v>
      </c>
      <c r="O48" s="61">
        <f t="shared" si="9"/>
        <v>119095.73002187733</v>
      </c>
      <c r="P48" s="61">
        <f t="shared" si="9"/>
        <v>121477.6446223149</v>
      </c>
      <c r="Q48" s="61">
        <f t="shared" si="9"/>
        <v>123907.19751476118</v>
      </c>
      <c r="R48" s="61">
        <f t="shared" si="9"/>
        <v>126385.34146505642</v>
      </c>
      <c r="S48" s="61">
        <f t="shared" si="9"/>
        <v>128913.04829435752</v>
      </c>
      <c r="T48" s="227">
        <f t="shared" si="9"/>
        <v>131491.30926024468</v>
      </c>
      <c r="U48" s="61">
        <f t="shared" si="9"/>
        <v>134121.13544544959</v>
      </c>
      <c r="V48" s="61">
        <f t="shared" si="9"/>
        <v>136803.55815435859</v>
      </c>
      <c r="W48" s="61">
        <f t="shared" si="9"/>
        <v>139539.62931744571</v>
      </c>
      <c r="X48" s="61">
        <f t="shared" si="9"/>
        <v>142330.42190379466</v>
      </c>
      <c r="Y48" s="61">
        <f t="shared" si="9"/>
        <v>145177.03034187056</v>
      </c>
      <c r="Z48" s="61">
        <f t="shared" si="9"/>
        <v>148080.57094870796</v>
      </c>
      <c r="AA48" s="61">
        <f t="shared" si="9"/>
        <v>151042.18236768211</v>
      </c>
      <c r="AB48" s="61">
        <f t="shared" si="9"/>
        <v>154063.02601503578</v>
      </c>
      <c r="AC48" s="61">
        <f t="shared" si="9"/>
        <v>157144.28653533646</v>
      </c>
      <c r="AD48" s="61">
        <f t="shared" si="9"/>
        <v>160287.1722660432</v>
      </c>
      <c r="AE48" s="61">
        <f t="shared" si="9"/>
        <v>163492.91571136404</v>
      </c>
      <c r="AF48" s="61">
        <f t="shared" si="9"/>
        <v>166762.77402559132</v>
      </c>
      <c r="AG48" s="61">
        <f t="shared" si="9"/>
        <v>170098.02950610316</v>
      </c>
      <c r="AH48" s="61">
        <f t="shared" si="9"/>
        <v>173499.99009622523</v>
      </c>
      <c r="AI48" s="61">
        <f t="shared" si="9"/>
        <v>176969.98989814971</v>
      </c>
      <c r="AJ48" s="61">
        <f t="shared" si="9"/>
        <v>180509.38969611275</v>
      </c>
      <c r="AK48" s="61">
        <f t="shared" si="9"/>
        <v>184119.57749003498</v>
      </c>
    </row>
    <row r="49" spans="2:37">
      <c r="B49" s="76" t="s">
        <v>520</v>
      </c>
      <c r="C49" s="76"/>
      <c r="D49" s="76"/>
      <c r="E49" s="76"/>
      <c r="F49" s="76"/>
      <c r="G49" s="77"/>
      <c r="H49" s="77">
        <f t="shared" ref="H49:AK49" si="10">SUM(H43:H48)</f>
        <v>1302105</v>
      </c>
      <c r="I49" s="77">
        <f t="shared" si="10"/>
        <v>1543341.6</v>
      </c>
      <c r="J49" s="77">
        <f t="shared" si="10"/>
        <v>1574208.432</v>
      </c>
      <c r="K49" s="77">
        <f t="shared" si="10"/>
        <v>1605692.6006399998</v>
      </c>
      <c r="L49" s="77">
        <f t="shared" si="10"/>
        <v>1637806.4526527999</v>
      </c>
      <c r="M49" s="77">
        <f t="shared" si="10"/>
        <v>1670562.5817058561</v>
      </c>
      <c r="N49" s="77">
        <f t="shared" si="10"/>
        <v>1703973.8333399731</v>
      </c>
      <c r="O49" s="77">
        <f t="shared" si="10"/>
        <v>1738053.3100067722</v>
      </c>
      <c r="P49" s="77">
        <f t="shared" si="10"/>
        <v>1772814.3762069081</v>
      </c>
      <c r="Q49" s="77">
        <f t="shared" si="10"/>
        <v>1808270.6637310463</v>
      </c>
      <c r="R49" s="77">
        <f t="shared" si="10"/>
        <v>1844436.0770056671</v>
      </c>
      <c r="S49" s="77">
        <f t="shared" si="10"/>
        <v>1881324.7985457801</v>
      </c>
      <c r="T49" s="228">
        <f t="shared" si="10"/>
        <v>1918951.2945166961</v>
      </c>
      <c r="U49" s="77">
        <f t="shared" si="10"/>
        <v>1957330.3204070297</v>
      </c>
      <c r="V49" s="77">
        <f t="shared" si="10"/>
        <v>1996476.9268151706</v>
      </c>
      <c r="W49" s="77">
        <f t="shared" si="10"/>
        <v>2036406.4653514735</v>
      </c>
      <c r="X49" s="77">
        <f t="shared" si="10"/>
        <v>2077134.5946585033</v>
      </c>
      <c r="Y49" s="77">
        <f t="shared" si="10"/>
        <v>2118677.2865516734</v>
      </c>
      <c r="Z49" s="77">
        <f t="shared" si="10"/>
        <v>2161050.8322827066</v>
      </c>
      <c r="AA49" s="77">
        <f t="shared" si="10"/>
        <v>2204271.8489283607</v>
      </c>
      <c r="AB49" s="77">
        <f t="shared" si="10"/>
        <v>2248357.2859069281</v>
      </c>
      <c r="AC49" s="77">
        <f t="shared" si="10"/>
        <v>2293324.4316250668</v>
      </c>
      <c r="AD49" s="77">
        <f t="shared" si="10"/>
        <v>2339190.9202575679</v>
      </c>
      <c r="AE49" s="77">
        <f t="shared" si="10"/>
        <v>2385974.7386627193</v>
      </c>
      <c r="AF49" s="77">
        <f t="shared" si="10"/>
        <v>2433694.2334359735</v>
      </c>
      <c r="AG49" s="77">
        <f t="shared" si="10"/>
        <v>2482368.118104693</v>
      </c>
      <c r="AH49" s="77">
        <f t="shared" si="10"/>
        <v>2532015.4804667872</v>
      </c>
      <c r="AI49" s="77">
        <f t="shared" si="10"/>
        <v>2582655.7900761226</v>
      </c>
      <c r="AJ49" s="77">
        <f t="shared" si="10"/>
        <v>2634308.9058776451</v>
      </c>
      <c r="AK49" s="77">
        <f t="shared" si="10"/>
        <v>2686995.0839951979</v>
      </c>
    </row>
    <row r="50" spans="2:37"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227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</row>
    <row r="51" spans="2:37">
      <c r="B51" s="70" t="s">
        <v>521</v>
      </c>
      <c r="C51" s="70"/>
      <c r="D51" s="70"/>
      <c r="E51" s="70"/>
      <c r="F51" s="70"/>
      <c r="G51" s="70"/>
      <c r="H51" s="72">
        <f t="shared" ref="H51:AK51" si="11">-(1-H40)*SUM(H45:H46)</f>
        <v>-23968.500000000022</v>
      </c>
      <c r="I51" s="72">
        <f t="shared" si="11"/>
        <v>-28751.760000000024</v>
      </c>
      <c r="J51" s="72">
        <f t="shared" si="11"/>
        <v>-29326.795200000026</v>
      </c>
      <c r="K51" s="72">
        <f t="shared" si="11"/>
        <v>-29913.331104000023</v>
      </c>
      <c r="L51" s="72">
        <f t="shared" si="11"/>
        <v>-30511.597726080025</v>
      </c>
      <c r="M51" s="72">
        <f t="shared" si="11"/>
        <v>-31121.82968060163</v>
      </c>
      <c r="N51" s="72">
        <f t="shared" si="11"/>
        <v>-31744.26627421366</v>
      </c>
      <c r="O51" s="72">
        <f t="shared" si="11"/>
        <v>-32379.151599697929</v>
      </c>
      <c r="P51" s="72">
        <f t="shared" si="11"/>
        <v>-33026.734631691892</v>
      </c>
      <c r="Q51" s="72">
        <f t="shared" si="11"/>
        <v>-33687.269324325731</v>
      </c>
      <c r="R51" s="72">
        <f t="shared" si="11"/>
        <v>-34361.014710812247</v>
      </c>
      <c r="S51" s="72">
        <f t="shared" si="11"/>
        <v>-35048.23500502848</v>
      </c>
      <c r="T51" s="229">
        <f t="shared" si="11"/>
        <v>-35749.19970512906</v>
      </c>
      <c r="U51" s="72">
        <f t="shared" si="11"/>
        <v>-36464.183699231638</v>
      </c>
      <c r="V51" s="72">
        <f t="shared" si="11"/>
        <v>-37193.467373216277</v>
      </c>
      <c r="W51" s="72">
        <f t="shared" si="11"/>
        <v>-37937.336720680592</v>
      </c>
      <c r="X51" s="72">
        <f t="shared" si="11"/>
        <v>-38696.083455094209</v>
      </c>
      <c r="Y51" s="72">
        <f t="shared" si="11"/>
        <v>-39470.00512419609</v>
      </c>
      <c r="Z51" s="72">
        <f t="shared" si="11"/>
        <v>-40259.405226680014</v>
      </c>
      <c r="AA51" s="72">
        <f t="shared" si="11"/>
        <v>-41064.593331213611</v>
      </c>
      <c r="AB51" s="72">
        <f t="shared" si="11"/>
        <v>-41885.885197837888</v>
      </c>
      <c r="AC51" s="72">
        <f t="shared" si="11"/>
        <v>-42723.602901794642</v>
      </c>
      <c r="AD51" s="72">
        <f t="shared" si="11"/>
        <v>-43578.074959830534</v>
      </c>
      <c r="AE51" s="72">
        <f t="shared" si="11"/>
        <v>-44449.636459027141</v>
      </c>
      <c r="AF51" s="72">
        <f t="shared" si="11"/>
        <v>-45338.629188207691</v>
      </c>
      <c r="AG51" s="72">
        <f t="shared" si="11"/>
        <v>-46245.401771971839</v>
      </c>
      <c r="AH51" s="72">
        <f t="shared" si="11"/>
        <v>-47170.309807411279</v>
      </c>
      <c r="AI51" s="72">
        <f t="shared" si="11"/>
        <v>-48113.716003559501</v>
      </c>
      <c r="AJ51" s="72">
        <f t="shared" si="11"/>
        <v>-49075.990323630693</v>
      </c>
      <c r="AK51" s="72">
        <f t="shared" si="11"/>
        <v>-50057.510130103306</v>
      </c>
    </row>
    <row r="52" spans="2:37">
      <c r="B52" s="58" t="s">
        <v>522</v>
      </c>
      <c r="H52" s="61">
        <f>SUM(H49:H51)</f>
        <v>1278136.5</v>
      </c>
      <c r="I52" s="61">
        <f t="shared" ref="I52:AK52" si="12">SUM(I49:I51)</f>
        <v>1514589.84</v>
      </c>
      <c r="J52" s="61">
        <f t="shared" si="12"/>
        <v>1544881.6368</v>
      </c>
      <c r="K52" s="61">
        <f t="shared" si="12"/>
        <v>1575779.2695359997</v>
      </c>
      <c r="L52" s="61">
        <f t="shared" si="12"/>
        <v>1607294.8549267198</v>
      </c>
      <c r="M52" s="61">
        <f t="shared" si="12"/>
        <v>1639440.7520252545</v>
      </c>
      <c r="N52" s="61">
        <f t="shared" si="12"/>
        <v>1672229.5670657596</v>
      </c>
      <c r="O52" s="61">
        <f t="shared" si="12"/>
        <v>1705674.1584070742</v>
      </c>
      <c r="P52" s="61">
        <f t="shared" si="12"/>
        <v>1739787.6415752163</v>
      </c>
      <c r="Q52" s="61">
        <f t="shared" si="12"/>
        <v>1774583.3944067205</v>
      </c>
      <c r="R52" s="61">
        <f t="shared" si="12"/>
        <v>1810075.0622948548</v>
      </c>
      <c r="S52" s="61">
        <f t="shared" si="12"/>
        <v>1846276.5635407516</v>
      </c>
      <c r="T52" s="227">
        <f t="shared" si="12"/>
        <v>1883202.0948115671</v>
      </c>
      <c r="U52" s="61">
        <f t="shared" si="12"/>
        <v>1920866.1367077981</v>
      </c>
      <c r="V52" s="61">
        <f t="shared" si="12"/>
        <v>1959283.4594419543</v>
      </c>
      <c r="W52" s="61">
        <f t="shared" si="12"/>
        <v>1998469.128630793</v>
      </c>
      <c r="X52" s="61">
        <f t="shared" si="12"/>
        <v>2038438.5112034092</v>
      </c>
      <c r="Y52" s="61">
        <f t="shared" si="12"/>
        <v>2079207.2814274773</v>
      </c>
      <c r="Z52" s="61">
        <f t="shared" si="12"/>
        <v>2120791.4270560266</v>
      </c>
      <c r="AA52" s="61">
        <f t="shared" si="12"/>
        <v>2163207.2555971472</v>
      </c>
      <c r="AB52" s="61">
        <f t="shared" si="12"/>
        <v>2206471.4007090903</v>
      </c>
      <c r="AC52" s="61">
        <f t="shared" si="12"/>
        <v>2250600.8287232723</v>
      </c>
      <c r="AD52" s="61">
        <f t="shared" si="12"/>
        <v>2295612.8452977375</v>
      </c>
      <c r="AE52" s="61">
        <f t="shared" si="12"/>
        <v>2341525.1022036923</v>
      </c>
      <c r="AF52" s="61">
        <f t="shared" si="12"/>
        <v>2388355.6042477656</v>
      </c>
      <c r="AG52" s="61">
        <f t="shared" si="12"/>
        <v>2436122.7163327211</v>
      </c>
      <c r="AH52" s="61">
        <f t="shared" si="12"/>
        <v>2484845.1706593758</v>
      </c>
      <c r="AI52" s="61">
        <f t="shared" si="12"/>
        <v>2534542.0740725631</v>
      </c>
      <c r="AJ52" s="61">
        <f t="shared" si="12"/>
        <v>2585232.9155540145</v>
      </c>
      <c r="AK52" s="61">
        <f t="shared" si="12"/>
        <v>2636937.5738650947</v>
      </c>
    </row>
    <row r="54" spans="2:37">
      <c r="B54" s="58" t="s">
        <v>413</v>
      </c>
      <c r="H54" s="61">
        <f t="shared" ref="H54:AK54" si="13">-($M$19*H52)*(1+$M$20)^G39</f>
        <v>-383440.95</v>
      </c>
      <c r="I54" s="61">
        <f t="shared" si="13"/>
        <v>-463464.49103999999</v>
      </c>
      <c r="J54" s="61">
        <f t="shared" si="13"/>
        <v>-482188.45647801599</v>
      </c>
      <c r="K54" s="61">
        <f t="shared" si="13"/>
        <v>-501668.87011972768</v>
      </c>
      <c r="L54" s="61">
        <f t="shared" si="13"/>
        <v>-521936.29247256479</v>
      </c>
      <c r="M54" s="61">
        <f t="shared" si="13"/>
        <v>-543022.5186884565</v>
      </c>
      <c r="N54" s="61">
        <f t="shared" si="13"/>
        <v>-564960.62844347011</v>
      </c>
      <c r="O54" s="61">
        <f t="shared" si="13"/>
        <v>-587785.03783258598</v>
      </c>
      <c r="P54" s="61">
        <f t="shared" si="13"/>
        <v>-611531.55336102273</v>
      </c>
      <c r="Q54" s="61">
        <f t="shared" si="13"/>
        <v>-636237.42811680806</v>
      </c>
      <c r="R54" s="61">
        <f t="shared" si="13"/>
        <v>-661941.42021272704</v>
      </c>
      <c r="S54" s="61">
        <f t="shared" si="13"/>
        <v>-688683.85358932102</v>
      </c>
      <c r="T54" s="227">
        <f t="shared" si="13"/>
        <v>-716506.68127432989</v>
      </c>
      <c r="U54" s="61">
        <f t="shared" si="13"/>
        <v>-745453.55119781266</v>
      </c>
      <c r="V54" s="61">
        <f t="shared" si="13"/>
        <v>-775569.87466620433</v>
      </c>
      <c r="W54" s="61">
        <f t="shared" si="13"/>
        <v>-806902.89760271879</v>
      </c>
      <c r="X54" s="61">
        <f t="shared" si="13"/>
        <v>-839501.77466586884</v>
      </c>
      <c r="Y54" s="61">
        <f t="shared" si="13"/>
        <v>-873417.64636237</v>
      </c>
      <c r="Z54" s="61">
        <f t="shared" si="13"/>
        <v>-908703.71927540947</v>
      </c>
      <c r="AA54" s="61">
        <f t="shared" si="13"/>
        <v>-945415.34953413613</v>
      </c>
      <c r="AB54" s="61">
        <f t="shared" si="13"/>
        <v>-983610.12965531531</v>
      </c>
      <c r="AC54" s="61">
        <f t="shared" si="13"/>
        <v>-1023347.97889339</v>
      </c>
      <c r="AD54" s="61">
        <f t="shared" si="13"/>
        <v>-1064691.2372406831</v>
      </c>
      <c r="AE54" s="61">
        <f t="shared" si="13"/>
        <v>-1107704.7632252064</v>
      </c>
      <c r="AF54" s="61">
        <f t="shared" si="13"/>
        <v>-1152456.0356595046</v>
      </c>
      <c r="AG54" s="61">
        <f t="shared" si="13"/>
        <v>-1199015.2595001485</v>
      </c>
      <c r="AH54" s="61">
        <f t="shared" si="13"/>
        <v>-1247455.475983955</v>
      </c>
      <c r="AI54" s="61">
        <f t="shared" si="13"/>
        <v>-1297852.6772137063</v>
      </c>
      <c r="AJ54" s="61">
        <f t="shared" si="13"/>
        <v>-1350285.9253731405</v>
      </c>
      <c r="AK54" s="61">
        <f t="shared" si="13"/>
        <v>-1404837.4767582149</v>
      </c>
    </row>
    <row r="55" spans="2:37">
      <c r="B55" s="58" t="s">
        <v>728</v>
      </c>
      <c r="H55" s="61">
        <f>-($M$21*H52)*(1+$M$20)^G39</f>
        <v>-76688.19</v>
      </c>
      <c r="I55" s="61">
        <f t="shared" ref="I55:AK55" si="14">-($M$21*I52)*(1+$M$20)^H39</f>
        <v>-92692.898207999999</v>
      </c>
      <c r="J55" s="61">
        <f t="shared" si="14"/>
        <v>-96437.691295603203</v>
      </c>
      <c r="K55" s="61">
        <f t="shared" si="14"/>
        <v>-100333.77402394555</v>
      </c>
      <c r="L55" s="61">
        <f t="shared" si="14"/>
        <v>-104387.25849451295</v>
      </c>
      <c r="M55" s="61">
        <f t="shared" si="14"/>
        <v>-108604.5037376913</v>
      </c>
      <c r="N55" s="61">
        <f t="shared" si="14"/>
        <v>-112992.12568869404</v>
      </c>
      <c r="O55" s="61">
        <f t="shared" si="14"/>
        <v>-117557.00756651719</v>
      </c>
      <c r="P55" s="61">
        <f t="shared" si="14"/>
        <v>-122306.31067220456</v>
      </c>
      <c r="Q55" s="61">
        <f t="shared" si="14"/>
        <v>-127247.4856233616</v>
      </c>
      <c r="R55" s="61">
        <f t="shared" si="14"/>
        <v>-132388.28404254542</v>
      </c>
      <c r="S55" s="61">
        <f t="shared" si="14"/>
        <v>-137736.77071786422</v>
      </c>
      <c r="T55" s="61">
        <f t="shared" si="14"/>
        <v>-143301.33625486598</v>
      </c>
      <c r="U55" s="61">
        <f t="shared" si="14"/>
        <v>-149090.71023956253</v>
      </c>
      <c r="V55" s="61">
        <f t="shared" si="14"/>
        <v>-155113.97493324088</v>
      </c>
      <c r="W55" s="61">
        <f t="shared" si="14"/>
        <v>-161380.57952054375</v>
      </c>
      <c r="X55" s="61">
        <f t="shared" si="14"/>
        <v>-167900.35493317377</v>
      </c>
      <c r="Y55" s="61">
        <f t="shared" si="14"/>
        <v>-174683.52927247397</v>
      </c>
      <c r="Z55" s="61">
        <f t="shared" si="14"/>
        <v>-181740.74385508191</v>
      </c>
      <c r="AA55" s="61">
        <f t="shared" si="14"/>
        <v>-189083.06990682721</v>
      </c>
      <c r="AB55" s="61">
        <f t="shared" si="14"/>
        <v>-196722.02593106308</v>
      </c>
      <c r="AC55" s="61">
        <f t="shared" si="14"/>
        <v>-204669.59577867802</v>
      </c>
      <c r="AD55" s="61">
        <f t="shared" si="14"/>
        <v>-212938.24744813659</v>
      </c>
      <c r="AE55" s="61">
        <f t="shared" si="14"/>
        <v>-221540.95264504131</v>
      </c>
      <c r="AF55" s="61">
        <f t="shared" si="14"/>
        <v>-230491.20713190088</v>
      </c>
      <c r="AG55" s="61">
        <f t="shared" si="14"/>
        <v>-239803.05190002971</v>
      </c>
      <c r="AH55" s="61">
        <f t="shared" si="14"/>
        <v>-249491.09519679099</v>
      </c>
      <c r="AI55" s="61">
        <f t="shared" si="14"/>
        <v>-259570.53544274124</v>
      </c>
      <c r="AJ55" s="61">
        <f t="shared" si="14"/>
        <v>-270057.18507462804</v>
      </c>
      <c r="AK55" s="61">
        <f t="shared" si="14"/>
        <v>-280967.49535164295</v>
      </c>
    </row>
    <row r="56" spans="2:37">
      <c r="B56" s="58" t="s">
        <v>523</v>
      </c>
      <c r="H56" s="61">
        <f t="shared" ref="H56:AK56" si="15">-H52*$M$22</f>
        <v>-25562.73</v>
      </c>
      <c r="I56" s="61">
        <f t="shared" si="15"/>
        <v>-30291.796800000004</v>
      </c>
      <c r="J56" s="61">
        <f t="shared" si="15"/>
        <v>-30897.632736</v>
      </c>
      <c r="K56" s="61">
        <f t="shared" si="15"/>
        <v>-31515.585390719996</v>
      </c>
      <c r="L56" s="61">
        <f t="shared" si="15"/>
        <v>-32145.897098534395</v>
      </c>
      <c r="M56" s="61">
        <f t="shared" si="15"/>
        <v>-32788.815040505091</v>
      </c>
      <c r="N56" s="61">
        <f t="shared" si="15"/>
        <v>-33444.591341315194</v>
      </c>
      <c r="O56" s="61">
        <f t="shared" si="15"/>
        <v>-34113.483168141487</v>
      </c>
      <c r="P56" s="61">
        <f t="shared" si="15"/>
        <v>-34795.752831504324</v>
      </c>
      <c r="Q56" s="61">
        <f t="shared" si="15"/>
        <v>-35491.667888134412</v>
      </c>
      <c r="R56" s="61">
        <f t="shared" si="15"/>
        <v>-36201.501245897096</v>
      </c>
      <c r="S56" s="61">
        <f t="shared" si="15"/>
        <v>-36925.53127081503</v>
      </c>
      <c r="T56" s="227">
        <f t="shared" si="15"/>
        <v>-37664.041896231342</v>
      </c>
      <c r="U56" s="61">
        <f t="shared" si="15"/>
        <v>-38417.322734155961</v>
      </c>
      <c r="V56" s="61">
        <f t="shared" si="15"/>
        <v>-39185.669188839085</v>
      </c>
      <c r="W56" s="61">
        <f t="shared" si="15"/>
        <v>-39969.382572615861</v>
      </c>
      <c r="X56" s="61">
        <f t="shared" si="15"/>
        <v>-40768.770224068183</v>
      </c>
      <c r="Y56" s="61">
        <f t="shared" si="15"/>
        <v>-41584.145628549544</v>
      </c>
      <c r="Z56" s="61">
        <f t="shared" si="15"/>
        <v>-42415.828541120536</v>
      </c>
      <c r="AA56" s="61">
        <f t="shared" si="15"/>
        <v>-43264.145111942948</v>
      </c>
      <c r="AB56" s="61">
        <f t="shared" si="15"/>
        <v>-44129.428014181809</v>
      </c>
      <c r="AC56" s="61">
        <f t="shared" si="15"/>
        <v>-45012.016574465444</v>
      </c>
      <c r="AD56" s="61">
        <f t="shared" si="15"/>
        <v>-45912.256905954753</v>
      </c>
      <c r="AE56" s="61">
        <f t="shared" si="15"/>
        <v>-46830.502044073844</v>
      </c>
      <c r="AF56" s="61">
        <f t="shared" si="15"/>
        <v>-47767.112084955312</v>
      </c>
      <c r="AG56" s="61">
        <f t="shared" si="15"/>
        <v>-48722.454326654421</v>
      </c>
      <c r="AH56" s="61">
        <f t="shared" si="15"/>
        <v>-49696.903413187516</v>
      </c>
      <c r="AI56" s="61">
        <f t="shared" si="15"/>
        <v>-50690.841481451265</v>
      </c>
      <c r="AJ56" s="61">
        <f t="shared" si="15"/>
        <v>-51704.658311080289</v>
      </c>
      <c r="AK56" s="61">
        <f t="shared" si="15"/>
        <v>-52738.751477301892</v>
      </c>
    </row>
    <row r="57" spans="2:37">
      <c r="B57" s="76" t="s">
        <v>524</v>
      </c>
      <c r="C57" s="76"/>
      <c r="D57" s="76"/>
      <c r="E57" s="76"/>
      <c r="F57" s="76"/>
      <c r="G57" s="76"/>
      <c r="H57" s="77">
        <f t="shared" ref="H57:R57" si="16">SUM(H52:H56)</f>
        <v>792444.63000000012</v>
      </c>
      <c r="I57" s="77">
        <f t="shared" si="16"/>
        <v>928140.65395200008</v>
      </c>
      <c r="J57" s="77">
        <f t="shared" si="16"/>
        <v>935357.85629038082</v>
      </c>
      <c r="K57" s="77">
        <f t="shared" si="16"/>
        <v>942261.04000160645</v>
      </c>
      <c r="L57" s="77">
        <f t="shared" si="16"/>
        <v>948825.40686110756</v>
      </c>
      <c r="M57" s="77">
        <f t="shared" si="16"/>
        <v>955024.91455860145</v>
      </c>
      <c r="N57" s="77">
        <f t="shared" si="16"/>
        <v>960832.22159228008</v>
      </c>
      <c r="O57" s="77">
        <f t="shared" si="16"/>
        <v>966218.62983982963</v>
      </c>
      <c r="P57" s="77">
        <f t="shared" si="16"/>
        <v>971154.02471048455</v>
      </c>
      <c r="Q57" s="77">
        <f t="shared" si="16"/>
        <v>975606.81277841644</v>
      </c>
      <c r="R57" s="77">
        <f t="shared" si="16"/>
        <v>979543.85679368523</v>
      </c>
      <c r="S57" s="77">
        <f t="shared" ref="S57:AK57" si="17">SUM(S52:S56)</f>
        <v>982930.40796275134</v>
      </c>
      <c r="T57" s="228">
        <f t="shared" si="17"/>
        <v>985730.03538613999</v>
      </c>
      <c r="U57" s="77">
        <f t="shared" si="17"/>
        <v>987904.55253626697</v>
      </c>
      <c r="V57" s="77">
        <f t="shared" si="17"/>
        <v>989413.94065367011</v>
      </c>
      <c r="W57" s="77">
        <f t="shared" si="17"/>
        <v>990216.26893491449</v>
      </c>
      <c r="X57" s="77">
        <f t="shared" si="17"/>
        <v>990267.61138029839</v>
      </c>
      <c r="Y57" s="77">
        <f t="shared" si="17"/>
        <v>989521.96016408363</v>
      </c>
      <c r="Z57" s="77">
        <f t="shared" si="17"/>
        <v>987931.13538441481</v>
      </c>
      <c r="AA57" s="77">
        <f t="shared" si="17"/>
        <v>985444.69104424084</v>
      </c>
      <c r="AB57" s="77">
        <f t="shared" si="17"/>
        <v>982009.81710853009</v>
      </c>
      <c r="AC57" s="77">
        <f t="shared" si="17"/>
        <v>977571.23747673887</v>
      </c>
      <c r="AD57" s="77">
        <f t="shared" si="17"/>
        <v>972071.1037029631</v>
      </c>
      <c r="AE57" s="77">
        <f t="shared" si="17"/>
        <v>965448.88428937073</v>
      </c>
      <c r="AF57" s="77">
        <f t="shared" si="17"/>
        <v>957641.24937140488</v>
      </c>
      <c r="AG57" s="77">
        <f t="shared" si="17"/>
        <v>948581.9506058885</v>
      </c>
      <c r="AH57" s="77">
        <f t="shared" si="17"/>
        <v>938201.6960654424</v>
      </c>
      <c r="AI57" s="77">
        <f t="shared" si="17"/>
        <v>926428.01993466425</v>
      </c>
      <c r="AJ57" s="77">
        <f t="shared" si="17"/>
        <v>913185.14679516561</v>
      </c>
      <c r="AK57" s="77">
        <f t="shared" si="17"/>
        <v>898393.85027793492</v>
      </c>
    </row>
    <row r="59" spans="2:37">
      <c r="B59" s="58" t="s">
        <v>525</v>
      </c>
      <c r="H59" s="61">
        <f t="shared" ref="H59:AK59" si="18">IF(H39=$M$25,I57/$M$27,0)</f>
        <v>0</v>
      </c>
      <c r="I59" s="61">
        <f t="shared" si="18"/>
        <v>0</v>
      </c>
      <c r="J59" s="61">
        <f t="shared" si="18"/>
        <v>0</v>
      </c>
      <c r="K59" s="61">
        <f t="shared" si="18"/>
        <v>0</v>
      </c>
      <c r="L59" s="61">
        <f t="shared" si="18"/>
        <v>0</v>
      </c>
      <c r="M59" s="61">
        <f t="shared" si="18"/>
        <v>0</v>
      </c>
      <c r="N59" s="61">
        <f t="shared" si="18"/>
        <v>0</v>
      </c>
      <c r="O59" s="61">
        <f t="shared" si="18"/>
        <v>0</v>
      </c>
      <c r="P59" s="61">
        <f t="shared" si="18"/>
        <v>0</v>
      </c>
      <c r="Q59" s="61">
        <f t="shared" si="18"/>
        <v>17491854.585601524</v>
      </c>
      <c r="R59" s="61">
        <f t="shared" si="18"/>
        <v>0</v>
      </c>
      <c r="S59" s="61">
        <f t="shared" si="18"/>
        <v>0</v>
      </c>
      <c r="T59" s="227">
        <f t="shared" si="18"/>
        <v>0</v>
      </c>
      <c r="U59" s="61">
        <f t="shared" si="18"/>
        <v>0</v>
      </c>
      <c r="V59" s="61">
        <f t="shared" si="18"/>
        <v>0</v>
      </c>
      <c r="W59" s="61">
        <f t="shared" si="18"/>
        <v>0</v>
      </c>
      <c r="X59" s="61">
        <f t="shared" si="18"/>
        <v>0</v>
      </c>
      <c r="Y59" s="61">
        <f t="shared" si="18"/>
        <v>0</v>
      </c>
      <c r="Z59" s="61">
        <f t="shared" si="18"/>
        <v>0</v>
      </c>
      <c r="AA59" s="61">
        <f t="shared" si="18"/>
        <v>0</v>
      </c>
      <c r="AB59" s="61">
        <f t="shared" si="18"/>
        <v>0</v>
      </c>
      <c r="AC59" s="61">
        <f t="shared" si="18"/>
        <v>0</v>
      </c>
      <c r="AD59" s="61">
        <f t="shared" si="18"/>
        <v>0</v>
      </c>
      <c r="AE59" s="61">
        <f t="shared" si="18"/>
        <v>0</v>
      </c>
      <c r="AF59" s="61">
        <f t="shared" si="18"/>
        <v>0</v>
      </c>
      <c r="AG59" s="61">
        <f t="shared" si="18"/>
        <v>0</v>
      </c>
      <c r="AH59" s="61">
        <f t="shared" si="18"/>
        <v>0</v>
      </c>
      <c r="AI59" s="61">
        <f t="shared" si="18"/>
        <v>0</v>
      </c>
      <c r="AJ59" s="61">
        <f t="shared" si="18"/>
        <v>0</v>
      </c>
      <c r="AK59" s="61">
        <f t="shared" si="18"/>
        <v>0</v>
      </c>
    </row>
    <row r="60" spans="2:37">
      <c r="B60" s="70" t="s">
        <v>393</v>
      </c>
      <c r="C60" s="70"/>
      <c r="D60" s="70"/>
      <c r="E60" s="70"/>
      <c r="F60" s="70"/>
      <c r="G60" s="70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229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</row>
    <row r="61" spans="2:37" s="100" customFormat="1">
      <c r="B61" s="100" t="s">
        <v>526</v>
      </c>
      <c r="G61" s="101">
        <f t="shared" ref="G61:AK61" ca="1" si="19">IF(G39&lt;=$M$25,SUM(G57,G59:G60,G42),0)</f>
        <v>-70527020.28881371</v>
      </c>
      <c r="H61" s="101">
        <f t="shared" si="19"/>
        <v>792444.63000000012</v>
      </c>
      <c r="I61" s="101">
        <f t="shared" si="19"/>
        <v>928140.65395200008</v>
      </c>
      <c r="J61" s="101">
        <f t="shared" si="19"/>
        <v>935357.85629038082</v>
      </c>
      <c r="K61" s="101">
        <f t="shared" si="19"/>
        <v>942261.04000160645</v>
      </c>
      <c r="L61" s="101">
        <f t="shared" si="19"/>
        <v>948825.40686110756</v>
      </c>
      <c r="M61" s="101">
        <f t="shared" si="19"/>
        <v>955024.91455860145</v>
      </c>
      <c r="N61" s="101">
        <f t="shared" si="19"/>
        <v>960832.22159228008</v>
      </c>
      <c r="O61" s="101">
        <f t="shared" si="19"/>
        <v>966218.62983982963</v>
      </c>
      <c r="P61" s="101">
        <f t="shared" si="19"/>
        <v>971154.02471048455</v>
      </c>
      <c r="Q61" s="101">
        <f t="shared" si="19"/>
        <v>18467461.398379941</v>
      </c>
      <c r="R61" s="101">
        <f t="shared" si="19"/>
        <v>0</v>
      </c>
      <c r="S61" s="101">
        <f t="shared" si="19"/>
        <v>0</v>
      </c>
      <c r="T61" s="230">
        <f t="shared" si="19"/>
        <v>0</v>
      </c>
      <c r="U61" s="101">
        <f t="shared" si="19"/>
        <v>0</v>
      </c>
      <c r="V61" s="101">
        <f t="shared" si="19"/>
        <v>0</v>
      </c>
      <c r="W61" s="101">
        <f t="shared" si="19"/>
        <v>0</v>
      </c>
      <c r="X61" s="101">
        <f t="shared" si="19"/>
        <v>0</v>
      </c>
      <c r="Y61" s="101">
        <f t="shared" si="19"/>
        <v>0</v>
      </c>
      <c r="Z61" s="101">
        <f t="shared" si="19"/>
        <v>0</v>
      </c>
      <c r="AA61" s="101">
        <f t="shared" si="19"/>
        <v>0</v>
      </c>
      <c r="AB61" s="101">
        <f t="shared" si="19"/>
        <v>0</v>
      </c>
      <c r="AC61" s="101">
        <f t="shared" si="19"/>
        <v>0</v>
      </c>
      <c r="AD61" s="101">
        <f t="shared" si="19"/>
        <v>0</v>
      </c>
      <c r="AE61" s="101">
        <f t="shared" si="19"/>
        <v>0</v>
      </c>
      <c r="AF61" s="101">
        <f t="shared" si="19"/>
        <v>0</v>
      </c>
      <c r="AG61" s="101">
        <f t="shared" si="19"/>
        <v>0</v>
      </c>
      <c r="AH61" s="101">
        <f t="shared" si="19"/>
        <v>0</v>
      </c>
      <c r="AI61" s="101">
        <f t="shared" si="19"/>
        <v>0</v>
      </c>
      <c r="AJ61" s="101">
        <f t="shared" si="19"/>
        <v>0</v>
      </c>
      <c r="AK61" s="101">
        <f t="shared" si="19"/>
        <v>0</v>
      </c>
    </row>
    <row r="62" spans="2:37" ht="16.2" thickBot="1"/>
    <row r="63" spans="2:37">
      <c r="B63" s="81" t="s">
        <v>527</v>
      </c>
      <c r="C63" s="82"/>
      <c r="D63" s="82"/>
      <c r="E63" s="82"/>
      <c r="F63" s="83">
        <f ca="1">SUM(G61:R61)</f>
        <v>-43659299.512627482</v>
      </c>
    </row>
    <row r="64" spans="2:37">
      <c r="B64" s="84" t="s">
        <v>528</v>
      </c>
      <c r="F64" s="85">
        <f>NPV(M26,H61:R61)</f>
        <v>14334646.473811897</v>
      </c>
    </row>
    <row r="65" spans="2:37">
      <c r="B65" s="84" t="s">
        <v>529</v>
      </c>
      <c r="F65" s="85">
        <f ca="1">F64+G61</f>
        <v>-56192373.815001816</v>
      </c>
      <c r="G65" s="65"/>
    </row>
    <row r="66" spans="2:37">
      <c r="B66" s="84" t="s">
        <v>530</v>
      </c>
      <c r="F66" s="86">
        <f ca="1">IRR(G61:R61)</f>
        <v>-0.1037919607981882</v>
      </c>
    </row>
    <row r="67" spans="2:37" ht="16.2" thickBot="1">
      <c r="B67" s="87" t="s">
        <v>531</v>
      </c>
      <c r="C67" s="88"/>
      <c r="D67" s="88"/>
      <c r="E67" s="88"/>
      <c r="F67" s="89">
        <f ca="1">(F63/-G61)+1</f>
        <v>0.38095641452255879</v>
      </c>
    </row>
    <row r="69" spans="2:37">
      <c r="B69" s="58" t="s">
        <v>532</v>
      </c>
      <c r="G69" s="61">
        <f ca="1">R25</f>
        <v>22144531.667667326</v>
      </c>
    </row>
    <row r="70" spans="2:37">
      <c r="B70" s="58" t="s">
        <v>533</v>
      </c>
      <c r="H70" s="65">
        <f t="shared" ref="H70:AK70" si="20">IF(H39=$M$25,FV($R$13/12,H39*12,$R$15,$R$12,0),0)</f>
        <v>0</v>
      </c>
      <c r="I70" s="65">
        <f t="shared" si="20"/>
        <v>0</v>
      </c>
      <c r="J70" s="65">
        <f t="shared" si="20"/>
        <v>0</v>
      </c>
      <c r="K70" s="65">
        <f t="shared" si="20"/>
        <v>0</v>
      </c>
      <c r="L70" s="65">
        <f t="shared" si="20"/>
        <v>0</v>
      </c>
      <c r="M70" s="65">
        <f t="shared" si="20"/>
        <v>0</v>
      </c>
      <c r="N70" s="65">
        <f t="shared" si="20"/>
        <v>0</v>
      </c>
      <c r="O70" s="61">
        <f t="shared" si="20"/>
        <v>0</v>
      </c>
      <c r="P70" s="65">
        <f t="shared" si="20"/>
        <v>0</v>
      </c>
      <c r="Q70" s="61">
        <f t="shared" ca="1" si="20"/>
        <v>-14087267.882949833</v>
      </c>
      <c r="R70" s="65">
        <f t="shared" si="20"/>
        <v>0</v>
      </c>
      <c r="S70" s="65">
        <f t="shared" si="20"/>
        <v>0</v>
      </c>
      <c r="T70" s="223">
        <f t="shared" si="20"/>
        <v>0</v>
      </c>
      <c r="U70" s="65">
        <f t="shared" si="20"/>
        <v>0</v>
      </c>
      <c r="V70" s="65">
        <f t="shared" si="20"/>
        <v>0</v>
      </c>
      <c r="W70" s="65">
        <f t="shared" si="20"/>
        <v>0</v>
      </c>
      <c r="X70" s="65">
        <f t="shared" si="20"/>
        <v>0</v>
      </c>
      <c r="Y70" s="65">
        <f t="shared" si="20"/>
        <v>0</v>
      </c>
      <c r="Z70" s="65">
        <f t="shared" si="20"/>
        <v>0</v>
      </c>
      <c r="AA70" s="65">
        <f t="shared" si="20"/>
        <v>0</v>
      </c>
      <c r="AB70" s="65">
        <f t="shared" si="20"/>
        <v>0</v>
      </c>
      <c r="AC70" s="65">
        <f t="shared" si="20"/>
        <v>0</v>
      </c>
      <c r="AD70" s="65">
        <f t="shared" si="20"/>
        <v>0</v>
      </c>
      <c r="AE70" s="65">
        <f t="shared" si="20"/>
        <v>0</v>
      </c>
      <c r="AF70" s="65">
        <f t="shared" si="20"/>
        <v>0</v>
      </c>
      <c r="AG70" s="65">
        <f t="shared" si="20"/>
        <v>0</v>
      </c>
      <c r="AH70" s="65">
        <f t="shared" si="20"/>
        <v>0</v>
      </c>
      <c r="AI70" s="65">
        <f t="shared" si="20"/>
        <v>0</v>
      </c>
      <c r="AJ70" s="65">
        <f t="shared" si="20"/>
        <v>0</v>
      </c>
      <c r="AK70" s="65">
        <f t="shared" si="20"/>
        <v>0</v>
      </c>
    </row>
    <row r="71" spans="2:37">
      <c r="B71" s="58" t="s">
        <v>534</v>
      </c>
      <c r="H71" s="61">
        <f t="shared" ref="H71:AK71" ca="1" si="21">IF(H39&lt;=$M$25,$R$15*12,0)</f>
        <v>-1842994.190002871</v>
      </c>
      <c r="I71" s="61">
        <f t="shared" ca="1" si="21"/>
        <v>-1842994.190002871</v>
      </c>
      <c r="J71" s="61">
        <f t="shared" ca="1" si="21"/>
        <v>-1842994.190002871</v>
      </c>
      <c r="K71" s="61">
        <f t="shared" ca="1" si="21"/>
        <v>-1842994.190002871</v>
      </c>
      <c r="L71" s="61">
        <f t="shared" ca="1" si="21"/>
        <v>-1842994.190002871</v>
      </c>
      <c r="M71" s="61">
        <f t="shared" ca="1" si="21"/>
        <v>-1842994.190002871</v>
      </c>
      <c r="N71" s="61">
        <f t="shared" ca="1" si="21"/>
        <v>-1842994.190002871</v>
      </c>
      <c r="O71" s="61">
        <f t="shared" ca="1" si="21"/>
        <v>-1842994.190002871</v>
      </c>
      <c r="P71" s="61">
        <f t="shared" ca="1" si="21"/>
        <v>-1842994.190002871</v>
      </c>
      <c r="Q71" s="61">
        <f t="shared" ca="1" si="21"/>
        <v>-1842994.190002871</v>
      </c>
      <c r="R71" s="61">
        <f t="shared" si="21"/>
        <v>0</v>
      </c>
      <c r="S71" s="61">
        <f t="shared" si="21"/>
        <v>0</v>
      </c>
      <c r="T71" s="227">
        <f t="shared" si="21"/>
        <v>0</v>
      </c>
      <c r="U71" s="61">
        <f t="shared" si="21"/>
        <v>0</v>
      </c>
      <c r="V71" s="61">
        <f t="shared" si="21"/>
        <v>0</v>
      </c>
      <c r="W71" s="61">
        <f t="shared" si="21"/>
        <v>0</v>
      </c>
      <c r="X71" s="61">
        <f t="shared" si="21"/>
        <v>0</v>
      </c>
      <c r="Y71" s="61">
        <f t="shared" si="21"/>
        <v>0</v>
      </c>
      <c r="Z71" s="61">
        <f t="shared" si="21"/>
        <v>0</v>
      </c>
      <c r="AA71" s="61">
        <f t="shared" si="21"/>
        <v>0</v>
      </c>
      <c r="AB71" s="61">
        <f t="shared" si="21"/>
        <v>0</v>
      </c>
      <c r="AC71" s="61">
        <f t="shared" si="21"/>
        <v>0</v>
      </c>
      <c r="AD71" s="61">
        <f t="shared" si="21"/>
        <v>0</v>
      </c>
      <c r="AE71" s="61">
        <f t="shared" si="21"/>
        <v>0</v>
      </c>
      <c r="AF71" s="61">
        <f t="shared" si="21"/>
        <v>0</v>
      </c>
      <c r="AG71" s="61">
        <f t="shared" si="21"/>
        <v>0</v>
      </c>
      <c r="AH71" s="61">
        <f t="shared" si="21"/>
        <v>0</v>
      </c>
      <c r="AI71" s="61">
        <f t="shared" si="21"/>
        <v>0</v>
      </c>
      <c r="AJ71" s="61">
        <f t="shared" si="21"/>
        <v>0</v>
      </c>
      <c r="AK71" s="61">
        <f t="shared" si="21"/>
        <v>0</v>
      </c>
    </row>
    <row r="73" spans="2:37" s="100" customFormat="1">
      <c r="B73" s="100" t="s">
        <v>535</v>
      </c>
      <c r="G73" s="101">
        <f ca="1">SUM(G61,G69:G71)</f>
        <v>-48382488.621146381</v>
      </c>
      <c r="H73" s="101">
        <f t="shared" ref="H73:AK73" ca="1" si="22">SUM(H61,H69:H71)</f>
        <v>-1050549.5600028709</v>
      </c>
      <c r="I73" s="101">
        <f t="shared" ca="1" si="22"/>
        <v>-914853.5360508709</v>
      </c>
      <c r="J73" s="101">
        <f t="shared" ca="1" si="22"/>
        <v>-907636.33371249016</v>
      </c>
      <c r="K73" s="101">
        <f t="shared" ca="1" si="22"/>
        <v>-900733.15000126453</v>
      </c>
      <c r="L73" s="101">
        <f t="shared" ca="1" si="22"/>
        <v>-894168.78314176342</v>
      </c>
      <c r="M73" s="101">
        <f t="shared" ca="1" si="22"/>
        <v>-887969.27544426953</v>
      </c>
      <c r="N73" s="101">
        <f t="shared" ca="1" si="22"/>
        <v>-882161.9684105909</v>
      </c>
      <c r="O73" s="101">
        <f t="shared" ca="1" si="22"/>
        <v>-876775.56016304134</v>
      </c>
      <c r="P73" s="101">
        <f t="shared" ca="1" si="22"/>
        <v>-871840.16529238643</v>
      </c>
      <c r="Q73" s="101">
        <f t="shared" ca="1" si="22"/>
        <v>2537199.325427237</v>
      </c>
      <c r="R73" s="101">
        <f t="shared" si="22"/>
        <v>0</v>
      </c>
      <c r="S73" s="101">
        <f t="shared" si="22"/>
        <v>0</v>
      </c>
      <c r="T73" s="230">
        <f t="shared" si="22"/>
        <v>0</v>
      </c>
      <c r="U73" s="101">
        <f t="shared" si="22"/>
        <v>0</v>
      </c>
      <c r="V73" s="101">
        <f t="shared" si="22"/>
        <v>0</v>
      </c>
      <c r="W73" s="101">
        <f t="shared" si="22"/>
        <v>0</v>
      </c>
      <c r="X73" s="101">
        <f t="shared" si="22"/>
        <v>0</v>
      </c>
      <c r="Y73" s="101">
        <f t="shared" si="22"/>
        <v>0</v>
      </c>
      <c r="Z73" s="101">
        <f t="shared" si="22"/>
        <v>0</v>
      </c>
      <c r="AA73" s="101">
        <f t="shared" si="22"/>
        <v>0</v>
      </c>
      <c r="AB73" s="101">
        <f t="shared" si="22"/>
        <v>0</v>
      </c>
      <c r="AC73" s="101">
        <f t="shared" si="22"/>
        <v>0</v>
      </c>
      <c r="AD73" s="101">
        <f t="shared" si="22"/>
        <v>0</v>
      </c>
      <c r="AE73" s="101">
        <f t="shared" si="22"/>
        <v>0</v>
      </c>
      <c r="AF73" s="101">
        <f t="shared" si="22"/>
        <v>0</v>
      </c>
      <c r="AG73" s="101">
        <f t="shared" si="22"/>
        <v>0</v>
      </c>
      <c r="AH73" s="101">
        <f t="shared" si="22"/>
        <v>0</v>
      </c>
      <c r="AI73" s="101">
        <f t="shared" si="22"/>
        <v>0</v>
      </c>
      <c r="AJ73" s="101">
        <f t="shared" si="22"/>
        <v>0</v>
      </c>
      <c r="AK73" s="101">
        <f t="shared" si="22"/>
        <v>0</v>
      </c>
    </row>
    <row r="74" spans="2:37" ht="16.2" thickBot="1"/>
    <row r="75" spans="2:37">
      <c r="B75" s="81" t="str">
        <f>B63</f>
        <v>Profit</v>
      </c>
      <c r="C75" s="82"/>
      <c r="D75" s="82"/>
      <c r="E75" s="82"/>
      <c r="F75" s="83">
        <f ca="1">SUM(G73:R73)</f>
        <v>-54031977.627938695</v>
      </c>
    </row>
    <row r="76" spans="2:37">
      <c r="B76" s="84" t="str">
        <f t="shared" ref="B76:B79" si="23">B64</f>
        <v>PV</v>
      </c>
      <c r="F76" s="85">
        <f ca="1">NPV($M$26,H73:R73)</f>
        <v>-4557125.3071703967</v>
      </c>
    </row>
    <row r="77" spans="2:37">
      <c r="B77" s="84" t="str">
        <f t="shared" si="23"/>
        <v>NPV</v>
      </c>
      <c r="F77" s="85">
        <f ca="1">F76+G73</f>
        <v>-52939613.928316779</v>
      </c>
    </row>
    <row r="78" spans="2:37">
      <c r="B78" s="84" t="s">
        <v>536</v>
      </c>
      <c r="F78" s="90" t="e">
        <f ca="1">IRR(G73:R73)</f>
        <v>#NUM!</v>
      </c>
    </row>
    <row r="79" spans="2:37" ht="16.2" thickBot="1">
      <c r="B79" s="87" t="str">
        <f t="shared" si="23"/>
        <v>Equity Multiple</v>
      </c>
      <c r="C79" s="88"/>
      <c r="D79" s="88"/>
      <c r="E79" s="88"/>
      <c r="F79" s="89">
        <f ca="1">(F75/-G73)+1</f>
        <v>-0.11676722648621896</v>
      </c>
    </row>
    <row r="81" spans="1:37">
      <c r="A81" s="58" t="s">
        <v>472</v>
      </c>
      <c r="B81" s="242" t="s">
        <v>537</v>
      </c>
      <c r="C81" s="242"/>
      <c r="D81" s="242"/>
      <c r="E81" s="242"/>
      <c r="F81" s="242"/>
      <c r="G81" s="242"/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59"/>
      <c r="T81" s="231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</row>
    <row r="82" spans="1:37">
      <c r="B82" s="58" t="s">
        <v>538</v>
      </c>
      <c r="H82" s="91">
        <f ca="1">-H61/$G$61</f>
        <v>1.1236042962752104E-2</v>
      </c>
      <c r="I82" s="91">
        <f t="shared" ref="I82:AK82" ca="1" si="24">-I61/$G$61</f>
        <v>1.316007184411295E-2</v>
      </c>
      <c r="J82" s="91">
        <f t="shared" ca="1" si="24"/>
        <v>1.3262404287888763E-2</v>
      </c>
      <c r="K82" s="91">
        <f t="shared" ca="1" si="24"/>
        <v>1.3360284273218594E-2</v>
      </c>
      <c r="L82" s="91">
        <f t="shared" ca="1" si="24"/>
        <v>1.3453360186997731E-2</v>
      </c>
      <c r="M82" s="91">
        <f t="shared" ca="1" si="24"/>
        <v>1.354126277627637E-2</v>
      </c>
      <c r="N82" s="91">
        <f t="shared" ca="1" si="24"/>
        <v>1.3623604366916344E-2</v>
      </c>
      <c r="O82" s="91">
        <f t="shared" ca="1" si="24"/>
        <v>1.3699978049307742E-2</v>
      </c>
      <c r="P82" s="91">
        <f t="shared" ca="1" si="24"/>
        <v>1.3769956829787112E-2</v>
      </c>
      <c r="Q82" s="91">
        <f t="shared" ca="1" si="24"/>
        <v>0.2618494489453011</v>
      </c>
      <c r="R82" s="91">
        <f t="shared" ca="1" si="24"/>
        <v>0</v>
      </c>
      <c r="S82" s="91">
        <f t="shared" ca="1" si="24"/>
        <v>0</v>
      </c>
      <c r="T82" s="232">
        <f t="shared" ca="1" si="24"/>
        <v>0</v>
      </c>
      <c r="U82" s="91">
        <f t="shared" ca="1" si="24"/>
        <v>0</v>
      </c>
      <c r="V82" s="91">
        <f t="shared" ca="1" si="24"/>
        <v>0</v>
      </c>
      <c r="W82" s="91">
        <f t="shared" ca="1" si="24"/>
        <v>0</v>
      </c>
      <c r="X82" s="91">
        <f t="shared" ca="1" si="24"/>
        <v>0</v>
      </c>
      <c r="Y82" s="91">
        <f t="shared" ca="1" si="24"/>
        <v>0</v>
      </c>
      <c r="Z82" s="91">
        <f t="shared" ca="1" si="24"/>
        <v>0</v>
      </c>
      <c r="AA82" s="91">
        <f t="shared" ca="1" si="24"/>
        <v>0</v>
      </c>
      <c r="AB82" s="91">
        <f t="shared" ca="1" si="24"/>
        <v>0</v>
      </c>
      <c r="AC82" s="91">
        <f t="shared" ca="1" si="24"/>
        <v>0</v>
      </c>
      <c r="AD82" s="91">
        <f t="shared" ca="1" si="24"/>
        <v>0</v>
      </c>
      <c r="AE82" s="91">
        <f t="shared" ca="1" si="24"/>
        <v>0</v>
      </c>
      <c r="AF82" s="91">
        <f t="shared" ca="1" si="24"/>
        <v>0</v>
      </c>
      <c r="AG82" s="91">
        <f t="shared" ca="1" si="24"/>
        <v>0</v>
      </c>
      <c r="AH82" s="91">
        <f t="shared" ca="1" si="24"/>
        <v>0</v>
      </c>
      <c r="AI82" s="91">
        <f t="shared" ca="1" si="24"/>
        <v>0</v>
      </c>
      <c r="AJ82" s="91">
        <f t="shared" ca="1" si="24"/>
        <v>0</v>
      </c>
      <c r="AK82" s="91">
        <f t="shared" ca="1" si="24"/>
        <v>0</v>
      </c>
    </row>
    <row r="83" spans="1:37">
      <c r="B83" s="58" t="s">
        <v>539</v>
      </c>
      <c r="H83" s="91">
        <f ca="1">-H73/$G$73</f>
        <v>-2.1713425455004612E-2</v>
      </c>
      <c r="I83" s="91">
        <f t="shared" ref="I83:AK83" ca="1" si="25">-I73/$G$73</f>
        <v>-1.8908773858544736E-2</v>
      </c>
      <c r="J83" s="91">
        <f t="shared" ca="1" si="25"/>
        <v>-1.8759604137348826E-2</v>
      </c>
      <c r="K83" s="91">
        <f t="shared" ca="1" si="25"/>
        <v>-1.8616924752555698E-2</v>
      </c>
      <c r="L83" s="91">
        <f t="shared" ca="1" si="25"/>
        <v>-1.8481248249618807E-2</v>
      </c>
      <c r="M83" s="91">
        <f t="shared" ca="1" si="25"/>
        <v>-1.8353112887545178E-2</v>
      </c>
      <c r="N83" s="91">
        <f t="shared" ca="1" si="25"/>
        <v>-1.8233083777857328E-2</v>
      </c>
      <c r="O83" s="91">
        <f t="shared" ca="1" si="25"/>
        <v>-1.8121754071571915E-2</v>
      </c>
      <c r="P83" s="91">
        <f t="shared" ca="1" si="25"/>
        <v>-1.8019746196175076E-2</v>
      </c>
      <c r="Q83" s="91">
        <f t="shared" ca="1" si="25"/>
        <v>5.2440446900003226E-2</v>
      </c>
      <c r="R83" s="91">
        <f t="shared" ca="1" si="25"/>
        <v>0</v>
      </c>
      <c r="S83" s="91">
        <f t="shared" ca="1" si="25"/>
        <v>0</v>
      </c>
      <c r="T83" s="232">
        <f t="shared" ca="1" si="25"/>
        <v>0</v>
      </c>
      <c r="U83" s="91">
        <f t="shared" ca="1" si="25"/>
        <v>0</v>
      </c>
      <c r="V83" s="91">
        <f t="shared" ca="1" si="25"/>
        <v>0</v>
      </c>
      <c r="W83" s="91">
        <f t="shared" ca="1" si="25"/>
        <v>0</v>
      </c>
      <c r="X83" s="91">
        <f t="shared" ca="1" si="25"/>
        <v>0</v>
      </c>
      <c r="Y83" s="91">
        <f t="shared" ca="1" si="25"/>
        <v>0</v>
      </c>
      <c r="Z83" s="91">
        <f t="shared" ca="1" si="25"/>
        <v>0</v>
      </c>
      <c r="AA83" s="91">
        <f t="shared" ca="1" si="25"/>
        <v>0</v>
      </c>
      <c r="AB83" s="91">
        <f t="shared" ca="1" si="25"/>
        <v>0</v>
      </c>
      <c r="AC83" s="91">
        <f t="shared" ca="1" si="25"/>
        <v>0</v>
      </c>
      <c r="AD83" s="91">
        <f t="shared" ca="1" si="25"/>
        <v>0</v>
      </c>
      <c r="AE83" s="91">
        <f t="shared" ca="1" si="25"/>
        <v>0</v>
      </c>
      <c r="AF83" s="91">
        <f t="shared" ca="1" si="25"/>
        <v>0</v>
      </c>
      <c r="AG83" s="91">
        <f t="shared" ca="1" si="25"/>
        <v>0</v>
      </c>
      <c r="AH83" s="91">
        <f t="shared" ca="1" si="25"/>
        <v>0</v>
      </c>
      <c r="AI83" s="91">
        <f t="shared" ca="1" si="25"/>
        <v>0</v>
      </c>
      <c r="AJ83" s="91">
        <f t="shared" ca="1" si="25"/>
        <v>0</v>
      </c>
      <c r="AK83" s="91">
        <f t="shared" ca="1" si="25"/>
        <v>0</v>
      </c>
    </row>
    <row r="84" spans="1:37">
      <c r="B84" s="58" t="s">
        <v>540</v>
      </c>
      <c r="H84" s="61">
        <f t="shared" ref="H84:AK84" ca="1" si="26">-CUMPRINC($R$13/12,$R$14*12,$R$12,H39*12-11,H39*12,0)</f>
        <v>618618.12068128574</v>
      </c>
      <c r="I84" s="61">
        <f t="shared" ca="1" si="26"/>
        <v>654163.87358945166</v>
      </c>
      <c r="J84" s="61">
        <f t="shared" ca="1" si="26"/>
        <v>691752.08291389095</v>
      </c>
      <c r="K84" s="61">
        <f t="shared" ca="1" si="26"/>
        <v>731500.10805399914</v>
      </c>
      <c r="L84" s="61">
        <f t="shared" ca="1" si="26"/>
        <v>773532.05187185609</v>
      </c>
      <c r="M84" s="61">
        <f t="shared" ca="1" si="26"/>
        <v>817979.14817110833</v>
      </c>
      <c r="N84" s="61">
        <f t="shared" ca="1" si="26"/>
        <v>864980.17144036072</v>
      </c>
      <c r="O84" s="61">
        <f t="shared" ca="1" si="26"/>
        <v>914681.87014039396</v>
      </c>
      <c r="P84" s="61">
        <f t="shared" ca="1" si="26"/>
        <v>967239.42488803493</v>
      </c>
      <c r="Q84" s="61">
        <f t="shared" ca="1" si="26"/>
        <v>1022816.9329672396</v>
      </c>
      <c r="R84" s="61">
        <f t="shared" ca="1" si="26"/>
        <v>1081587.9206801469</v>
      </c>
      <c r="S84" s="61">
        <f t="shared" ca="1" si="26"/>
        <v>1143735.885137788</v>
      </c>
      <c r="T84" s="227">
        <f t="shared" ca="1" si="26"/>
        <v>1209454.8671820532</v>
      </c>
      <c r="U84" s="61">
        <f t="shared" ca="1" si="26"/>
        <v>1278950.0572277079</v>
      </c>
      <c r="V84" s="61">
        <f t="shared" ca="1" si="26"/>
        <v>1352438.4359160562</v>
      </c>
      <c r="W84" s="61">
        <f t="shared" ca="1" si="26"/>
        <v>1430149.4515805105</v>
      </c>
      <c r="X84" s="61">
        <f t="shared" ca="1" si="26"/>
        <v>1512325.7366392866</v>
      </c>
      <c r="Y84" s="61">
        <f t="shared" ca="1" si="26"/>
        <v>1599223.8651519753</v>
      </c>
      <c r="Z84" s="61">
        <f t="shared" ca="1" si="26"/>
        <v>1691115.1539052529</v>
      </c>
      <c r="AA84" s="61">
        <f t="shared" ca="1" si="26"/>
        <v>1788286.5095289287</v>
      </c>
      <c r="AB84" s="61" t="e">
        <f t="shared" ca="1" si="26"/>
        <v>#NUM!</v>
      </c>
      <c r="AC84" s="61" t="e">
        <f t="shared" ca="1" si="26"/>
        <v>#NUM!</v>
      </c>
      <c r="AD84" s="61" t="e">
        <f t="shared" ca="1" si="26"/>
        <v>#NUM!</v>
      </c>
      <c r="AE84" s="61" t="e">
        <f t="shared" ca="1" si="26"/>
        <v>#NUM!</v>
      </c>
      <c r="AF84" s="61" t="e">
        <f t="shared" ca="1" si="26"/>
        <v>#NUM!</v>
      </c>
      <c r="AG84" s="61" t="e">
        <f t="shared" ca="1" si="26"/>
        <v>#NUM!</v>
      </c>
      <c r="AH84" s="61" t="e">
        <f t="shared" ca="1" si="26"/>
        <v>#NUM!</v>
      </c>
      <c r="AI84" s="61" t="e">
        <f t="shared" ca="1" si="26"/>
        <v>#NUM!</v>
      </c>
      <c r="AJ84" s="61" t="e">
        <f t="shared" ca="1" si="26"/>
        <v>#NUM!</v>
      </c>
      <c r="AK84" s="61" t="e">
        <f t="shared" ca="1" si="26"/>
        <v>#NUM!</v>
      </c>
    </row>
    <row r="85" spans="1:37">
      <c r="B85" s="58" t="s">
        <v>541</v>
      </c>
      <c r="H85" s="91">
        <f t="shared" ref="H85:AK85" ca="1" si="27">IF(H39&lt;=$M$25,(H84+H73)/-$G$73,0)</f>
        <v>-8.9274332848765913E-3</v>
      </c>
      <c r="I85" s="91">
        <f t="shared" ca="1" si="27"/>
        <v>-5.3880994940694394E-3</v>
      </c>
      <c r="J85" s="91">
        <f t="shared" ca="1" si="27"/>
        <v>-4.4620327922578864E-3</v>
      </c>
      <c r="K85" s="91">
        <f t="shared" ca="1" si="27"/>
        <v>-3.4978159819852514E-3</v>
      </c>
      <c r="L85" s="91">
        <f t="shared" ca="1" si="27"/>
        <v>-2.4933965719403073E-3</v>
      </c>
      <c r="M85" s="91">
        <f t="shared" ca="1" si="27"/>
        <v>-1.4466003975366168E-3</v>
      </c>
      <c r="N85" s="91">
        <f t="shared" ca="1" si="27"/>
        <v>-3.5512429103782363E-4</v>
      </c>
      <c r="O85" s="91">
        <f t="shared" ca="1" si="27"/>
        <v>7.8347168691907739E-4</v>
      </c>
      <c r="P85" s="91">
        <f t="shared" ca="1" si="27"/>
        <v>1.9717724803835876E-3</v>
      </c>
      <c r="Q85" s="91">
        <f t="shared" ca="1" si="27"/>
        <v>7.3580676807900106E-2</v>
      </c>
      <c r="R85" s="91">
        <f t="shared" si="27"/>
        <v>0</v>
      </c>
      <c r="S85" s="91">
        <f t="shared" si="27"/>
        <v>0</v>
      </c>
      <c r="T85" s="232">
        <f t="shared" si="27"/>
        <v>0</v>
      </c>
      <c r="U85" s="91">
        <f t="shared" si="27"/>
        <v>0</v>
      </c>
      <c r="V85" s="91">
        <f t="shared" si="27"/>
        <v>0</v>
      </c>
      <c r="W85" s="91">
        <f t="shared" si="27"/>
        <v>0</v>
      </c>
      <c r="X85" s="91">
        <f t="shared" si="27"/>
        <v>0</v>
      </c>
      <c r="Y85" s="91">
        <f t="shared" si="27"/>
        <v>0</v>
      </c>
      <c r="Z85" s="91">
        <f t="shared" si="27"/>
        <v>0</v>
      </c>
      <c r="AA85" s="91">
        <f t="shared" si="27"/>
        <v>0</v>
      </c>
      <c r="AB85" s="91">
        <f t="shared" si="27"/>
        <v>0</v>
      </c>
      <c r="AC85" s="91">
        <f t="shared" si="27"/>
        <v>0</v>
      </c>
      <c r="AD85" s="91">
        <f t="shared" si="27"/>
        <v>0</v>
      </c>
      <c r="AE85" s="91">
        <f t="shared" si="27"/>
        <v>0</v>
      </c>
      <c r="AF85" s="91">
        <f t="shared" si="27"/>
        <v>0</v>
      </c>
      <c r="AG85" s="91">
        <f t="shared" si="27"/>
        <v>0</v>
      </c>
      <c r="AH85" s="91">
        <f t="shared" si="27"/>
        <v>0</v>
      </c>
      <c r="AI85" s="91">
        <f t="shared" si="27"/>
        <v>0</v>
      </c>
      <c r="AJ85" s="91">
        <f t="shared" si="27"/>
        <v>0</v>
      </c>
      <c r="AK85" s="91">
        <f t="shared" si="27"/>
        <v>0</v>
      </c>
    </row>
    <row r="86" spans="1:37">
      <c r="B86" s="58" t="s">
        <v>491</v>
      </c>
      <c r="H86" s="68">
        <f t="shared" ref="H86:AK86" ca="1" si="28">IF(H39&lt;=$M$25,H57/-H71,0)</f>
        <v>0.42997673801606812</v>
      </c>
      <c r="I86" s="68">
        <f t="shared" ca="1" si="28"/>
        <v>0.50360476391439646</v>
      </c>
      <c r="J86" s="68">
        <f t="shared" ca="1" si="28"/>
        <v>0.50752078403943512</v>
      </c>
      <c r="K86" s="68">
        <f t="shared" ca="1" si="28"/>
        <v>0.51126641913078341</v>
      </c>
      <c r="L86" s="68">
        <f t="shared" ca="1" si="28"/>
        <v>0.51482821378814525</v>
      </c>
      <c r="M86" s="68">
        <f t="shared" ca="1" si="28"/>
        <v>0.51819203757615417</v>
      </c>
      <c r="N86" s="68">
        <f t="shared" ca="1" si="28"/>
        <v>0.52134305512421786</v>
      </c>
      <c r="O86" s="68">
        <f t="shared" ca="1" si="28"/>
        <v>0.5242656949658232</v>
      </c>
      <c r="P86" s="68">
        <f t="shared" ca="1" si="28"/>
        <v>0.52694361706532111</v>
      </c>
      <c r="Q86" s="68">
        <f t="shared" ca="1" si="28"/>
        <v>0.52935967897809633</v>
      </c>
      <c r="R86" s="68">
        <f t="shared" si="28"/>
        <v>0</v>
      </c>
      <c r="S86" s="68">
        <f t="shared" si="28"/>
        <v>0</v>
      </c>
      <c r="T86" s="233">
        <f t="shared" si="28"/>
        <v>0</v>
      </c>
      <c r="U86" s="68">
        <f t="shared" si="28"/>
        <v>0</v>
      </c>
      <c r="V86" s="68">
        <f t="shared" si="28"/>
        <v>0</v>
      </c>
      <c r="W86" s="68">
        <f t="shared" si="28"/>
        <v>0</v>
      </c>
      <c r="X86" s="68">
        <f t="shared" si="28"/>
        <v>0</v>
      </c>
      <c r="Y86" s="68">
        <f t="shared" si="28"/>
        <v>0</v>
      </c>
      <c r="Z86" s="68">
        <f t="shared" si="28"/>
        <v>0</v>
      </c>
      <c r="AA86" s="68">
        <f t="shared" si="28"/>
        <v>0</v>
      </c>
      <c r="AB86" s="68">
        <f t="shared" si="28"/>
        <v>0</v>
      </c>
      <c r="AC86" s="68">
        <f t="shared" si="28"/>
        <v>0</v>
      </c>
      <c r="AD86" s="68">
        <f t="shared" si="28"/>
        <v>0</v>
      </c>
      <c r="AE86" s="68">
        <f t="shared" si="28"/>
        <v>0</v>
      </c>
      <c r="AF86" s="68">
        <f t="shared" si="28"/>
        <v>0</v>
      </c>
      <c r="AG86" s="68">
        <f t="shared" si="28"/>
        <v>0</v>
      </c>
      <c r="AH86" s="68">
        <f t="shared" si="28"/>
        <v>0</v>
      </c>
      <c r="AI86" s="68">
        <f t="shared" si="28"/>
        <v>0</v>
      </c>
      <c r="AJ86" s="68">
        <f t="shared" si="28"/>
        <v>0</v>
      </c>
      <c r="AK86" s="68">
        <f t="shared" si="28"/>
        <v>0</v>
      </c>
    </row>
    <row r="87" spans="1:37">
      <c r="B87" s="58" t="s">
        <v>493</v>
      </c>
      <c r="H87" s="91">
        <f ca="1">H61/($G$69-SUM(H84:$H$84))</f>
        <v>3.6813519122906382E-2</v>
      </c>
      <c r="I87" s="91">
        <f ca="1">I61/($G$69-SUM($H84:I$84))</f>
        <v>4.4468751708680206E-2</v>
      </c>
      <c r="J87" s="91">
        <f ca="1">J61/($G$69-SUM($H84:J$84))</f>
        <v>4.6350741723156341E-2</v>
      </c>
      <c r="K87" s="91">
        <f ca="1">K61/($G$69-SUM($H84:K$84))</f>
        <v>4.8449040387460215E-2</v>
      </c>
      <c r="L87" s="91">
        <f ca="1">L61/($G$69-SUM($H84:L$84))</f>
        <v>5.0807344751953094E-2</v>
      </c>
      <c r="M87" s="91">
        <f ca="1">M61/($G$69-SUM($H84:M$84))</f>
        <v>5.3481864154235552E-2</v>
      </c>
      <c r="N87" s="91">
        <f ca="1">N61/($G$69-SUM($H84:N$84))</f>
        <v>5.6546132064616048E-2</v>
      </c>
      <c r="O87" s="91">
        <f ca="1">O61/($G$69-SUM($H84:O$84))</f>
        <v>6.0098223769569997E-2</v>
      </c>
      <c r="P87" s="91">
        <f ca="1">P61/($G$69-SUM($H84:P$84))</f>
        <v>6.4271910882159458E-2</v>
      </c>
      <c r="Q87" s="91">
        <f ca="1">Q61/($G$69-SUM($H84:Q$84))</f>
        <v>1.3109327906464912</v>
      </c>
      <c r="R87" s="91">
        <f ca="1">R61/($G$69-SUM($H84:R$84))</f>
        <v>0</v>
      </c>
      <c r="S87" s="91">
        <f ca="1">S61/($G$69-SUM($H84:S$84))</f>
        <v>0</v>
      </c>
      <c r="T87" s="232">
        <f ca="1">T61/($G$69-SUM($H84:T$84))</f>
        <v>0</v>
      </c>
      <c r="U87" s="91">
        <f ca="1">U61/($G$69-SUM($H84:U$84))</f>
        <v>0</v>
      </c>
      <c r="V87" s="91">
        <f ca="1">V61/($G$69-SUM($H84:V$84))</f>
        <v>0</v>
      </c>
      <c r="W87" s="91">
        <f ca="1">W61/($G$69-SUM($H84:W$84))</f>
        <v>0</v>
      </c>
      <c r="X87" s="91">
        <f ca="1">X61/($G$69-SUM($H84:X$84))</f>
        <v>0</v>
      </c>
      <c r="Y87" s="91">
        <f ca="1">Y61/($G$69-SUM($H84:Y$84))</f>
        <v>0</v>
      </c>
      <c r="Z87" s="91">
        <f ca="1">Z61/($G$69-SUM($H84:Z$84))</f>
        <v>0</v>
      </c>
      <c r="AA87" s="91">
        <f ca="1">AA61/($G$69-SUM($H84:AA$84))</f>
        <v>0</v>
      </c>
      <c r="AB87" s="91" t="e">
        <f ca="1">AB61/($G$69-SUM($H84:AB$84))</f>
        <v>#NUM!</v>
      </c>
      <c r="AC87" s="91" t="e">
        <f ca="1">AC61/($G$69-SUM($H84:AC$84))</f>
        <v>#NUM!</v>
      </c>
      <c r="AD87" s="91" t="e">
        <f ca="1">AD61/($G$69-SUM($H84:AD$84))</f>
        <v>#NUM!</v>
      </c>
      <c r="AE87" s="91" t="e">
        <f ca="1">AE61/($G$69-SUM($H84:AE$84))</f>
        <v>#NUM!</v>
      </c>
      <c r="AF87" s="91" t="e">
        <f ca="1">AF61/($G$69-SUM($H84:AF$84))</f>
        <v>#NUM!</v>
      </c>
      <c r="AG87" s="91" t="e">
        <f ca="1">AG61/($G$69-SUM($H84:AG$84))</f>
        <v>#NUM!</v>
      </c>
      <c r="AH87" s="91" t="e">
        <f ca="1">AH61/($G$69-SUM($H84:AH$84))</f>
        <v>#NUM!</v>
      </c>
      <c r="AI87" s="91" t="e">
        <f ca="1">AI61/($G$69-SUM($H84:AI$84))</f>
        <v>#NUM!</v>
      </c>
      <c r="AJ87" s="91" t="e">
        <f ca="1">AJ61/($G$69-SUM($H84:AJ$84))</f>
        <v>#NUM!</v>
      </c>
      <c r="AK87" s="91" t="e">
        <f ca="1">AK61/($G$69-SUM($H84:AK$84))</f>
        <v>#NUM!</v>
      </c>
    </row>
  </sheetData>
  <conditionalFormatting sqref="T11:U22">
    <cfRule type="expression" dxfId="1" priority="2">
      <formula>$G$44="N"</formula>
    </cfRule>
  </conditionalFormatting>
  <conditionalFormatting sqref="U11">
    <cfRule type="expression" dxfId="0" priority="4">
      <formula>AND(#REF!=0, $G$44="Y")</formula>
    </cfRule>
  </conditionalFormatting>
  <pageMargins left="0.7" right="0.7" top="0.75" bottom="0.75" header="0.3" footer="0.3"/>
  <pageSetup scale="42" orientation="portrait" r:id="rId1"/>
  <headerFooter>
    <oddHeader xml:space="preserve">&amp;L2019 ULI Hines Student Competition&amp;R2019-331 &amp;A 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4761F-BEC0-483F-A5AC-41CA112C8BB9}">
  <sheetPr>
    <tabColor rgb="FFFFC000"/>
  </sheetPr>
  <dimension ref="A2:AK97"/>
  <sheetViews>
    <sheetView showGridLines="0" view="pageBreakPreview" zoomScale="80" zoomScaleNormal="100" zoomScaleSheetLayoutView="80" workbookViewId="0"/>
  </sheetViews>
  <sheetFormatPr defaultRowHeight="14.4"/>
  <cols>
    <col min="1" max="4" width="1.6640625" style="102" customWidth="1"/>
    <col min="5" max="5" width="8.88671875" style="102"/>
    <col min="6" max="6" width="8.88671875" style="102" customWidth="1"/>
    <col min="7" max="7" width="16.33203125" style="102" customWidth="1"/>
    <col min="8" max="8" width="12.5546875" style="102" bestFit="1" customWidth="1"/>
    <col min="9" max="9" width="11.5546875" style="102" bestFit="1" customWidth="1"/>
    <col min="10" max="10" width="13.6640625" style="102" bestFit="1" customWidth="1"/>
    <col min="11" max="12" width="12.5546875" style="102" bestFit="1" customWidth="1"/>
    <col min="13" max="14" width="11.88671875" style="102" bestFit="1" customWidth="1"/>
    <col min="15" max="15" width="12.109375" style="102" bestFit="1" customWidth="1"/>
    <col min="16" max="16" width="13" style="164" customWidth="1"/>
    <col min="17" max="17" width="12.44140625" style="102" bestFit="1" customWidth="1"/>
    <col min="18" max="18" width="13.109375" style="102" bestFit="1" customWidth="1"/>
    <col min="19" max="21" width="8.88671875" style="102"/>
    <col min="22" max="22" width="14.109375" style="102" bestFit="1" customWidth="1"/>
    <col min="23" max="16384" width="8.88671875" style="102"/>
  </cols>
  <sheetData>
    <row r="2" spans="1:19">
      <c r="P2" s="497"/>
    </row>
    <row r="3" spans="1:19">
      <c r="P3" s="497"/>
    </row>
    <row r="4" spans="1:19">
      <c r="P4" s="497"/>
    </row>
    <row r="5" spans="1:19">
      <c r="P5" s="497"/>
    </row>
    <row r="6" spans="1:19">
      <c r="P6" s="497"/>
    </row>
    <row r="7" spans="1:19">
      <c r="P7" s="497"/>
    </row>
    <row r="8" spans="1:19">
      <c r="B8" s="410" t="s">
        <v>762</v>
      </c>
      <c r="P8" s="387"/>
    </row>
    <row r="9" spans="1:19" ht="15.6">
      <c r="B9" s="411" t="s">
        <v>764</v>
      </c>
      <c r="P9" s="387"/>
    </row>
    <row r="11" spans="1:19">
      <c r="A11" s="102" t="s">
        <v>472</v>
      </c>
      <c r="B11" s="245" t="s">
        <v>473</v>
      </c>
      <c r="C11" s="245"/>
      <c r="D11" s="245"/>
      <c r="E11" s="245"/>
      <c r="F11" s="245"/>
      <c r="G11" s="245"/>
      <c r="H11" s="245"/>
      <c r="I11" s="105"/>
      <c r="J11" s="245" t="s">
        <v>555</v>
      </c>
      <c r="K11" s="245"/>
      <c r="L11" s="245"/>
      <c r="M11" s="245"/>
      <c r="N11" s="246" t="s">
        <v>556</v>
      </c>
      <c r="P11" s="245" t="s">
        <v>449</v>
      </c>
      <c r="Q11" s="245"/>
      <c r="R11" s="245"/>
    </row>
    <row r="12" spans="1:19">
      <c r="B12" s="102" t="s">
        <v>557</v>
      </c>
      <c r="G12" s="327">
        <f>'Area Matrix'!D44</f>
        <v>679682</v>
      </c>
      <c r="J12" s="102" t="s">
        <v>509</v>
      </c>
      <c r="M12" s="107">
        <f>G12*G16</f>
        <v>27615479.66</v>
      </c>
      <c r="N12" s="108">
        <f>M12/G12</f>
        <v>40.630000000000003</v>
      </c>
      <c r="P12" s="102" t="s">
        <v>591</v>
      </c>
      <c r="R12" s="147">
        <f ca="1">SUM('Area Matrix'!D59,'Area Matrix'!H59,'Area Matrix'!L59,'Area Matrix'!P59,'Area Matrix'!T59)</f>
        <v>258972961.49793154</v>
      </c>
    </row>
    <row r="13" spans="1:19">
      <c r="J13" s="102" t="s">
        <v>521</v>
      </c>
      <c r="M13" s="107">
        <f>-M12*G19</f>
        <v>-2761547.966</v>
      </c>
      <c r="N13" s="164"/>
      <c r="P13" s="109" t="s">
        <v>507</v>
      </c>
      <c r="R13" s="147">
        <f ca="1">R12*G26</f>
        <v>0</v>
      </c>
      <c r="S13" s="110"/>
    </row>
    <row r="14" spans="1:19">
      <c r="B14" s="245" t="s">
        <v>558</v>
      </c>
      <c r="C14" s="245"/>
      <c r="D14" s="245"/>
      <c r="E14" s="245"/>
      <c r="F14" s="245"/>
      <c r="G14" s="245"/>
      <c r="H14" s="245"/>
      <c r="I14" s="105"/>
      <c r="J14" s="111" t="s">
        <v>522</v>
      </c>
      <c r="K14" s="111"/>
      <c r="L14" s="111"/>
      <c r="M14" s="112">
        <f>M12+M13</f>
        <v>24853931.693999998</v>
      </c>
      <c r="N14" s="113"/>
      <c r="P14" s="114" t="s">
        <v>453</v>
      </c>
      <c r="Q14" s="111"/>
      <c r="R14" s="112">
        <f ca="1">SUM(R12:R13)</f>
        <v>258972961.49793154</v>
      </c>
      <c r="S14" s="115"/>
    </row>
    <row r="15" spans="1:19">
      <c r="B15" s="102" t="s">
        <v>559</v>
      </c>
      <c r="G15" s="660">
        <v>15</v>
      </c>
      <c r="H15" s="102" t="s">
        <v>560</v>
      </c>
      <c r="N15" s="164"/>
    </row>
    <row r="16" spans="1:19">
      <c r="B16" s="102" t="s">
        <v>561</v>
      </c>
      <c r="G16" s="661">
        <v>40.630000000000003</v>
      </c>
      <c r="H16" s="102" t="s">
        <v>562</v>
      </c>
      <c r="J16" s="116" t="s">
        <v>11</v>
      </c>
      <c r="N16" s="164"/>
      <c r="P16" s="245" t="s">
        <v>499</v>
      </c>
      <c r="Q16" s="245"/>
      <c r="R16" s="245"/>
    </row>
    <row r="17" spans="2:18">
      <c r="B17" s="102" t="s">
        <v>563</v>
      </c>
      <c r="G17" s="662">
        <v>0.03</v>
      </c>
      <c r="H17" s="102" t="s">
        <v>564</v>
      </c>
      <c r="J17" s="102" t="s">
        <v>565</v>
      </c>
      <c r="M17" s="107">
        <f>N17*$G$12</f>
        <v>1019523</v>
      </c>
      <c r="N17" s="656">
        <v>1.5</v>
      </c>
      <c r="P17" s="109" t="s">
        <v>478</v>
      </c>
      <c r="R17" s="107">
        <f ca="1">G32</f>
        <v>181281073.04855207</v>
      </c>
    </row>
    <row r="18" spans="2:18">
      <c r="B18" s="102" t="s">
        <v>566</v>
      </c>
      <c r="G18" s="662">
        <v>0.02</v>
      </c>
      <c r="J18" s="102" t="s">
        <v>567</v>
      </c>
      <c r="M18" s="107">
        <f>N18*$G$12</f>
        <v>1019523</v>
      </c>
      <c r="N18" s="656">
        <v>1.5</v>
      </c>
      <c r="P18" s="109" t="s">
        <v>28</v>
      </c>
      <c r="R18" s="107">
        <f ca="1">R19-R17</f>
        <v>77691888.449379474</v>
      </c>
    </row>
    <row r="19" spans="2:18">
      <c r="B19" s="102" t="s">
        <v>568</v>
      </c>
      <c r="G19" s="662">
        <v>0.1</v>
      </c>
      <c r="H19" s="102" t="s">
        <v>590</v>
      </c>
      <c r="J19" s="102" t="s">
        <v>36</v>
      </c>
      <c r="M19" s="107">
        <f>N19*$G$12</f>
        <v>1359364</v>
      </c>
      <c r="N19" s="656">
        <v>2</v>
      </c>
      <c r="P19" s="114" t="s">
        <v>458</v>
      </c>
      <c r="Q19" s="111"/>
      <c r="R19" s="112">
        <f ca="1">R14</f>
        <v>258972961.49793154</v>
      </c>
    </row>
    <row r="20" spans="2:18">
      <c r="B20" s="102" t="s">
        <v>569</v>
      </c>
      <c r="G20" s="661">
        <v>50</v>
      </c>
      <c r="H20" s="102" t="s">
        <v>570</v>
      </c>
      <c r="J20" s="102" t="s">
        <v>728</v>
      </c>
      <c r="M20" s="107">
        <f>N20*$M$12</f>
        <v>1656928.7796</v>
      </c>
      <c r="N20" s="382">
        <f>Taxes!$X$13</f>
        <v>0.06</v>
      </c>
    </row>
    <row r="21" spans="2:18">
      <c r="B21" s="102" t="s">
        <v>572</v>
      </c>
      <c r="G21" s="662">
        <v>0.06</v>
      </c>
      <c r="J21" s="102" t="s">
        <v>571</v>
      </c>
      <c r="M21" s="107">
        <f>N21*$M$12</f>
        <v>828464.3898</v>
      </c>
      <c r="N21" s="658">
        <v>0.03</v>
      </c>
      <c r="P21" s="102" t="s">
        <v>394</v>
      </c>
      <c r="R21" s="657">
        <v>0.08</v>
      </c>
    </row>
    <row r="22" spans="2:18">
      <c r="B22" s="102" t="s">
        <v>389</v>
      </c>
      <c r="G22" s="663">
        <v>5.8000000000000003E-2</v>
      </c>
      <c r="J22" s="111" t="s">
        <v>414</v>
      </c>
      <c r="K22" s="111"/>
      <c r="L22" s="111"/>
      <c r="M22" s="112">
        <f>SUM(M17:M21)</f>
        <v>5883803.1694</v>
      </c>
      <c r="N22" s="659">
        <v>4</v>
      </c>
    </row>
    <row r="23" spans="2:18">
      <c r="B23" s="102" t="s">
        <v>390</v>
      </c>
      <c r="G23" s="663">
        <v>5.5E-2</v>
      </c>
      <c r="N23" s="164"/>
    </row>
    <row r="24" spans="2:18">
      <c r="B24" s="102" t="s">
        <v>573</v>
      </c>
      <c r="G24" s="664">
        <v>0</v>
      </c>
      <c r="H24" s="102" t="s">
        <v>574</v>
      </c>
      <c r="J24" s="102" t="s">
        <v>575</v>
      </c>
      <c r="M24" s="107">
        <f>M14-M22</f>
        <v>18970128.524599999</v>
      </c>
      <c r="N24" s="164"/>
    </row>
    <row r="25" spans="2:18">
      <c r="B25" s="102" t="s">
        <v>391</v>
      </c>
      <c r="G25" s="665">
        <v>10</v>
      </c>
      <c r="H25" s="102" t="s">
        <v>560</v>
      </c>
      <c r="M25" s="107"/>
      <c r="N25" s="164"/>
    </row>
    <row r="26" spans="2:18">
      <c r="B26" s="102" t="s">
        <v>393</v>
      </c>
      <c r="G26" s="662">
        <v>0</v>
      </c>
      <c r="J26" s="118"/>
      <c r="M26" s="107"/>
      <c r="N26" s="164"/>
    </row>
    <row r="27" spans="2:18">
      <c r="J27" s="118"/>
      <c r="N27" s="164"/>
    </row>
    <row r="28" spans="2:18">
      <c r="B28" s="245" t="s">
        <v>576</v>
      </c>
      <c r="C28" s="245"/>
      <c r="D28" s="245"/>
      <c r="E28" s="245"/>
      <c r="F28" s="245"/>
      <c r="G28" s="245"/>
      <c r="H28" s="245"/>
      <c r="I28" s="105"/>
      <c r="N28" s="164"/>
    </row>
    <row r="29" spans="2:18">
      <c r="B29" s="102" t="s">
        <v>577</v>
      </c>
      <c r="G29" s="657">
        <v>0.7</v>
      </c>
      <c r="H29" s="102" t="s">
        <v>578</v>
      </c>
      <c r="J29" s="115"/>
      <c r="N29" s="164"/>
    </row>
    <row r="30" spans="2:18">
      <c r="B30" s="102" t="s">
        <v>460</v>
      </c>
      <c r="G30" s="657">
        <v>0.05</v>
      </c>
      <c r="J30" s="115"/>
    </row>
    <row r="31" spans="2:18">
      <c r="B31" s="102" t="s">
        <v>540</v>
      </c>
      <c r="G31" s="660">
        <v>30</v>
      </c>
      <c r="H31" s="102" t="s">
        <v>579</v>
      </c>
    </row>
    <row r="32" spans="2:18">
      <c r="B32" s="102" t="s">
        <v>580</v>
      </c>
      <c r="G32" s="107">
        <f ca="1">G29*R14</f>
        <v>181281073.04855207</v>
      </c>
    </row>
    <row r="33" spans="1:37">
      <c r="B33" s="102" t="s">
        <v>581</v>
      </c>
      <c r="G33" s="107">
        <f ca="1">PMT(G30/12,G31*12,G32)</f>
        <v>-973155.9985530586</v>
      </c>
    </row>
    <row r="35" spans="1:37">
      <c r="A35" s="102" t="s">
        <v>472</v>
      </c>
      <c r="B35" s="245" t="s">
        <v>513</v>
      </c>
      <c r="C35" s="245"/>
      <c r="D35" s="245"/>
      <c r="E35" s="245"/>
      <c r="F35" s="245"/>
      <c r="G35" s="666">
        <v>0</v>
      </c>
      <c r="H35" s="247">
        <f>G35+1</f>
        <v>1</v>
      </c>
      <c r="I35" s="247">
        <f t="shared" ref="I35:AK35" si="0">H35+1</f>
        <v>2</v>
      </c>
      <c r="J35" s="247">
        <f t="shared" si="0"/>
        <v>3</v>
      </c>
      <c r="K35" s="247">
        <f t="shared" si="0"/>
        <v>4</v>
      </c>
      <c r="L35" s="247">
        <f t="shared" si="0"/>
        <v>5</v>
      </c>
      <c r="M35" s="247">
        <f t="shared" si="0"/>
        <v>6</v>
      </c>
      <c r="N35" s="247">
        <f t="shared" si="0"/>
        <v>7</v>
      </c>
      <c r="O35" s="247">
        <f t="shared" si="0"/>
        <v>8</v>
      </c>
      <c r="P35" s="247">
        <f t="shared" si="0"/>
        <v>9</v>
      </c>
      <c r="Q35" s="247">
        <f t="shared" si="0"/>
        <v>10</v>
      </c>
      <c r="R35" s="247">
        <f t="shared" si="0"/>
        <v>11</v>
      </c>
      <c r="S35" s="119">
        <f t="shared" si="0"/>
        <v>12</v>
      </c>
      <c r="T35" s="119">
        <f t="shared" si="0"/>
        <v>13</v>
      </c>
      <c r="U35" s="119">
        <f t="shared" si="0"/>
        <v>14</v>
      </c>
      <c r="V35" s="119">
        <f t="shared" si="0"/>
        <v>15</v>
      </c>
      <c r="W35" s="119">
        <f t="shared" si="0"/>
        <v>16</v>
      </c>
      <c r="X35" s="119">
        <f t="shared" si="0"/>
        <v>17</v>
      </c>
      <c r="Y35" s="119">
        <f t="shared" si="0"/>
        <v>18</v>
      </c>
      <c r="Z35" s="119">
        <f t="shared" si="0"/>
        <v>19</v>
      </c>
      <c r="AA35" s="119">
        <f t="shared" si="0"/>
        <v>20</v>
      </c>
      <c r="AB35" s="119">
        <f t="shared" si="0"/>
        <v>21</v>
      </c>
      <c r="AC35" s="119">
        <f t="shared" si="0"/>
        <v>22</v>
      </c>
      <c r="AD35" s="119">
        <f t="shared" si="0"/>
        <v>23</v>
      </c>
      <c r="AE35" s="119">
        <f t="shared" si="0"/>
        <v>24</v>
      </c>
      <c r="AF35" s="119">
        <f t="shared" si="0"/>
        <v>25</v>
      </c>
      <c r="AG35" s="119">
        <f t="shared" si="0"/>
        <v>26</v>
      </c>
      <c r="AH35" s="119">
        <f t="shared" si="0"/>
        <v>27</v>
      </c>
      <c r="AI35" s="119">
        <f t="shared" si="0"/>
        <v>28</v>
      </c>
      <c r="AJ35" s="119">
        <f t="shared" si="0"/>
        <v>29</v>
      </c>
      <c r="AK35" s="119">
        <f t="shared" si="0"/>
        <v>30</v>
      </c>
    </row>
    <row r="36" spans="1:37">
      <c r="B36" s="102" t="s">
        <v>412</v>
      </c>
      <c r="H36" s="120">
        <f t="shared" ref="H36:AK36" si="1">1-$G$19</f>
        <v>0.9</v>
      </c>
      <c r="I36" s="120">
        <f t="shared" si="1"/>
        <v>0.9</v>
      </c>
      <c r="J36" s="120">
        <f t="shared" si="1"/>
        <v>0.9</v>
      </c>
      <c r="K36" s="120">
        <f t="shared" si="1"/>
        <v>0.9</v>
      </c>
      <c r="L36" s="120">
        <f t="shared" si="1"/>
        <v>0.9</v>
      </c>
      <c r="M36" s="120">
        <f t="shared" si="1"/>
        <v>0.9</v>
      </c>
      <c r="N36" s="120">
        <f t="shared" si="1"/>
        <v>0.9</v>
      </c>
      <c r="O36" s="120">
        <f t="shared" si="1"/>
        <v>0.9</v>
      </c>
      <c r="P36" s="120">
        <f t="shared" si="1"/>
        <v>0.9</v>
      </c>
      <c r="Q36" s="120">
        <f t="shared" si="1"/>
        <v>0.9</v>
      </c>
      <c r="R36" s="120">
        <f t="shared" si="1"/>
        <v>0.9</v>
      </c>
      <c r="S36" s="120">
        <f t="shared" si="1"/>
        <v>0.9</v>
      </c>
      <c r="T36" s="120">
        <f t="shared" si="1"/>
        <v>0.9</v>
      </c>
      <c r="U36" s="120">
        <f t="shared" si="1"/>
        <v>0.9</v>
      </c>
      <c r="V36" s="120">
        <f t="shared" si="1"/>
        <v>0.9</v>
      </c>
      <c r="W36" s="120">
        <f t="shared" si="1"/>
        <v>0.9</v>
      </c>
      <c r="X36" s="120">
        <f t="shared" si="1"/>
        <v>0.9</v>
      </c>
      <c r="Y36" s="120">
        <f t="shared" si="1"/>
        <v>0.9</v>
      </c>
      <c r="Z36" s="120">
        <f t="shared" si="1"/>
        <v>0.9</v>
      </c>
      <c r="AA36" s="120">
        <f t="shared" si="1"/>
        <v>0.9</v>
      </c>
      <c r="AB36" s="120">
        <f t="shared" si="1"/>
        <v>0.9</v>
      </c>
      <c r="AC36" s="120">
        <f t="shared" si="1"/>
        <v>0.9</v>
      </c>
      <c r="AD36" s="120">
        <f t="shared" si="1"/>
        <v>0.9</v>
      </c>
      <c r="AE36" s="120">
        <f t="shared" si="1"/>
        <v>0.9</v>
      </c>
      <c r="AF36" s="120">
        <f t="shared" si="1"/>
        <v>0.9</v>
      </c>
      <c r="AG36" s="120">
        <f t="shared" si="1"/>
        <v>0.9</v>
      </c>
      <c r="AH36" s="120">
        <f t="shared" si="1"/>
        <v>0.9</v>
      </c>
      <c r="AI36" s="120">
        <f t="shared" si="1"/>
        <v>0.9</v>
      </c>
      <c r="AJ36" s="120">
        <f t="shared" si="1"/>
        <v>0.9</v>
      </c>
      <c r="AK36" s="120">
        <f t="shared" si="1"/>
        <v>0.9</v>
      </c>
    </row>
    <row r="38" spans="1:37">
      <c r="B38" s="102" t="s">
        <v>595</v>
      </c>
      <c r="G38" s="107">
        <f ca="1">-R14</f>
        <v>-258972961.49793154</v>
      </c>
    </row>
    <row r="39" spans="1:37">
      <c r="I39" s="121"/>
    </row>
    <row r="40" spans="1:37">
      <c r="B40" s="102" t="s">
        <v>509</v>
      </c>
      <c r="H40" s="107">
        <f t="shared" ref="H40:AK40" si="2">$M$12*(1+$G$17)^G35</f>
        <v>27615479.66</v>
      </c>
      <c r="I40" s="107">
        <f t="shared" si="2"/>
        <v>28443944.049800001</v>
      </c>
      <c r="J40" s="107">
        <f t="shared" si="2"/>
        <v>29297262.371293999</v>
      </c>
      <c r="K40" s="107">
        <f t="shared" si="2"/>
        <v>30176180.242432822</v>
      </c>
      <c r="L40" s="107">
        <f t="shared" si="2"/>
        <v>31081465.649705801</v>
      </c>
      <c r="M40" s="107">
        <f t="shared" si="2"/>
        <v>32013909.619196974</v>
      </c>
      <c r="N40" s="107">
        <f t="shared" si="2"/>
        <v>32974326.907772887</v>
      </c>
      <c r="O40" s="107">
        <f t="shared" si="2"/>
        <v>33963556.715006076</v>
      </c>
      <c r="P40" s="107">
        <f t="shared" si="2"/>
        <v>34982463.416456252</v>
      </c>
      <c r="Q40" s="107">
        <f t="shared" si="2"/>
        <v>36031937.318949938</v>
      </c>
      <c r="R40" s="107">
        <f t="shared" si="2"/>
        <v>37112895.438518442</v>
      </c>
      <c r="S40" s="107">
        <f t="shared" si="2"/>
        <v>38226282.301673993</v>
      </c>
      <c r="T40" s="107">
        <f t="shared" si="2"/>
        <v>39373070.770724207</v>
      </c>
      <c r="U40" s="107">
        <f t="shared" si="2"/>
        <v>40554262.893845931</v>
      </c>
      <c r="V40" s="107">
        <f t="shared" si="2"/>
        <v>41770890.780661315</v>
      </c>
      <c r="W40" s="107">
        <f t="shared" si="2"/>
        <v>43024017.50408116</v>
      </c>
      <c r="X40" s="107">
        <f t="shared" si="2"/>
        <v>44314738.029203586</v>
      </c>
      <c r="Y40" s="107">
        <f t="shared" si="2"/>
        <v>45644180.170079693</v>
      </c>
      <c r="Z40" s="107">
        <f t="shared" si="2"/>
        <v>47013505.57518208</v>
      </c>
      <c r="AA40" s="107">
        <f t="shared" si="2"/>
        <v>48423910.742437541</v>
      </c>
      <c r="AB40" s="107">
        <f t="shared" si="2"/>
        <v>49876628.064710669</v>
      </c>
      <c r="AC40" s="107">
        <f t="shared" si="2"/>
        <v>51372926.906651981</v>
      </c>
      <c r="AD40" s="107">
        <f t="shared" si="2"/>
        <v>52914114.713851549</v>
      </c>
      <c r="AE40" s="107">
        <f t="shared" si="2"/>
        <v>54501538.155267097</v>
      </c>
      <c r="AF40" s="107">
        <f t="shared" si="2"/>
        <v>56136584.299925104</v>
      </c>
      <c r="AG40" s="107">
        <f t="shared" si="2"/>
        <v>57820681.828922853</v>
      </c>
      <c r="AH40" s="107">
        <f t="shared" si="2"/>
        <v>59555302.283790551</v>
      </c>
      <c r="AI40" s="107">
        <f t="shared" si="2"/>
        <v>61341961.352304257</v>
      </c>
      <c r="AJ40" s="107">
        <f t="shared" si="2"/>
        <v>63182220.192873381</v>
      </c>
      <c r="AK40" s="107">
        <f t="shared" si="2"/>
        <v>65077686.798659578</v>
      </c>
    </row>
    <row r="41" spans="1:37">
      <c r="C41" s="102" t="s">
        <v>521</v>
      </c>
      <c r="H41" s="107">
        <f>-(1-H36)*H40</f>
        <v>-2761547.9659999995</v>
      </c>
      <c r="I41" s="107">
        <f t="shared" ref="I41:AK41" si="3">-(1-I36)*I40</f>
        <v>-2844394.4049799996</v>
      </c>
      <c r="J41" s="107">
        <f t="shared" si="3"/>
        <v>-2929726.2371293991</v>
      </c>
      <c r="K41" s="107">
        <f t="shared" si="3"/>
        <v>-3017618.0242432817</v>
      </c>
      <c r="L41" s="107">
        <f t="shared" si="3"/>
        <v>-3108146.5649705795</v>
      </c>
      <c r="M41" s="107">
        <f t="shared" si="3"/>
        <v>-3201390.9619196965</v>
      </c>
      <c r="N41" s="107">
        <f t="shared" si="3"/>
        <v>-3297432.6907772878</v>
      </c>
      <c r="O41" s="107">
        <f t="shared" si="3"/>
        <v>-3396355.6715006069</v>
      </c>
      <c r="P41" s="107">
        <f t="shared" si="3"/>
        <v>-3498246.3416456245</v>
      </c>
      <c r="Q41" s="107">
        <f t="shared" si="3"/>
        <v>-3603193.7318949928</v>
      </c>
      <c r="R41" s="107">
        <f t="shared" si="3"/>
        <v>-3711289.5438518436</v>
      </c>
      <c r="S41" s="107">
        <f t="shared" si="3"/>
        <v>-3822628.2301673987</v>
      </c>
      <c r="T41" s="107">
        <f t="shared" si="3"/>
        <v>-3937307.0770724197</v>
      </c>
      <c r="U41" s="107">
        <f t="shared" si="3"/>
        <v>-4055426.2893845923</v>
      </c>
      <c r="V41" s="107">
        <f t="shared" si="3"/>
        <v>-4177089.0780661306</v>
      </c>
      <c r="W41" s="107">
        <f t="shared" si="3"/>
        <v>-4302401.7504081149</v>
      </c>
      <c r="X41" s="107">
        <f t="shared" si="3"/>
        <v>-4431473.8029203573</v>
      </c>
      <c r="Y41" s="107">
        <f t="shared" si="3"/>
        <v>-4564418.0170079684</v>
      </c>
      <c r="Z41" s="107">
        <f t="shared" si="3"/>
        <v>-4701350.5575182065</v>
      </c>
      <c r="AA41" s="107">
        <f t="shared" si="3"/>
        <v>-4842391.0742437532</v>
      </c>
      <c r="AB41" s="107">
        <f t="shared" si="3"/>
        <v>-4987662.8064710656</v>
      </c>
      <c r="AC41" s="107">
        <f t="shared" si="3"/>
        <v>-5137292.6906651966</v>
      </c>
      <c r="AD41" s="107">
        <f t="shared" si="3"/>
        <v>-5291411.4713851539</v>
      </c>
      <c r="AE41" s="107">
        <f t="shared" si="3"/>
        <v>-5450153.815526709</v>
      </c>
      <c r="AF41" s="107">
        <f t="shared" si="3"/>
        <v>-5613658.4299925091</v>
      </c>
      <c r="AG41" s="107">
        <f t="shared" si="3"/>
        <v>-5782068.1828922844</v>
      </c>
      <c r="AH41" s="107">
        <f t="shared" si="3"/>
        <v>-5955530.228379054</v>
      </c>
      <c r="AI41" s="107">
        <f t="shared" si="3"/>
        <v>-6134196.1352304248</v>
      </c>
      <c r="AJ41" s="107">
        <f t="shared" si="3"/>
        <v>-6318222.0192873366</v>
      </c>
      <c r="AK41" s="107">
        <f t="shared" si="3"/>
        <v>-6507768.6798659563</v>
      </c>
    </row>
    <row r="42" spans="1:37">
      <c r="C42" s="102" t="s">
        <v>573</v>
      </c>
      <c r="H42" s="667">
        <v>0</v>
      </c>
      <c r="I42" s="667">
        <v>0</v>
      </c>
      <c r="J42" s="667">
        <v>0</v>
      </c>
      <c r="K42" s="667">
        <v>0</v>
      </c>
      <c r="L42" s="667">
        <v>0</v>
      </c>
      <c r="M42" s="667">
        <v>0</v>
      </c>
      <c r="N42" s="667">
        <v>0</v>
      </c>
      <c r="O42" s="667">
        <v>0</v>
      </c>
      <c r="P42" s="667">
        <v>0</v>
      </c>
      <c r="Q42" s="667">
        <v>0</v>
      </c>
      <c r="R42" s="667">
        <v>0</v>
      </c>
      <c r="S42" s="667">
        <v>0</v>
      </c>
      <c r="T42" s="667">
        <v>0</v>
      </c>
      <c r="U42" s="667">
        <v>0</v>
      </c>
      <c r="V42" s="667">
        <v>0</v>
      </c>
      <c r="W42" s="667">
        <v>0</v>
      </c>
      <c r="X42" s="667">
        <v>0</v>
      </c>
      <c r="Y42" s="667">
        <v>0</v>
      </c>
      <c r="Z42" s="667">
        <v>0</v>
      </c>
      <c r="AA42" s="667">
        <v>0</v>
      </c>
      <c r="AB42" s="667">
        <v>0</v>
      </c>
      <c r="AC42" s="667">
        <v>0</v>
      </c>
      <c r="AD42" s="667">
        <v>0</v>
      </c>
      <c r="AE42" s="667">
        <v>0</v>
      </c>
      <c r="AF42" s="667">
        <v>0</v>
      </c>
      <c r="AG42" s="667">
        <v>0</v>
      </c>
      <c r="AH42" s="667">
        <v>0</v>
      </c>
      <c r="AI42" s="667">
        <v>0</v>
      </c>
      <c r="AJ42" s="667">
        <v>0</v>
      </c>
      <c r="AK42" s="667">
        <v>0</v>
      </c>
    </row>
    <row r="43" spans="1:37">
      <c r="B43" s="111" t="s">
        <v>522</v>
      </c>
      <c r="C43" s="111"/>
      <c r="D43" s="111"/>
      <c r="E43" s="111"/>
      <c r="F43" s="111"/>
      <c r="G43" s="111"/>
      <c r="H43" s="112">
        <f>SUM(H40:H42)</f>
        <v>24853931.694000002</v>
      </c>
      <c r="I43" s="112">
        <f t="shared" ref="I43:AK43" si="4">SUM(I40:I42)</f>
        <v>25599549.644820001</v>
      </c>
      <c r="J43" s="112">
        <f t="shared" si="4"/>
        <v>26367536.134164602</v>
      </c>
      <c r="K43" s="112">
        <f t="shared" si="4"/>
        <v>27158562.218189541</v>
      </c>
      <c r="L43" s="112">
        <f t="shared" si="4"/>
        <v>27973319.084735222</v>
      </c>
      <c r="M43" s="112">
        <f t="shared" si="4"/>
        <v>28812518.657277279</v>
      </c>
      <c r="N43" s="112">
        <f t="shared" si="4"/>
        <v>29676894.216995601</v>
      </c>
      <c r="O43" s="112">
        <f t="shared" si="4"/>
        <v>30567201.043505467</v>
      </c>
      <c r="P43" s="112">
        <f t="shared" si="4"/>
        <v>31484217.074810628</v>
      </c>
      <c r="Q43" s="112">
        <f t="shared" si="4"/>
        <v>32428743.587054946</v>
      </c>
      <c r="R43" s="112">
        <f t="shared" si="4"/>
        <v>33401605.894666597</v>
      </c>
      <c r="S43" s="112">
        <f t="shared" si="4"/>
        <v>34403654.071506597</v>
      </c>
      <c r="T43" s="112">
        <f t="shared" si="4"/>
        <v>35435763.693651788</v>
      </c>
      <c r="U43" s="112">
        <f t="shared" si="4"/>
        <v>36498836.604461342</v>
      </c>
      <c r="V43" s="112">
        <f t="shared" si="4"/>
        <v>37593801.702595182</v>
      </c>
      <c r="W43" s="112">
        <f t="shared" si="4"/>
        <v>38721615.753673047</v>
      </c>
      <c r="X43" s="112">
        <f t="shared" si="4"/>
        <v>39883264.22628323</v>
      </c>
      <c r="Y43" s="112">
        <f t="shared" si="4"/>
        <v>41079762.153071724</v>
      </c>
      <c r="Z43" s="112">
        <f t="shared" si="4"/>
        <v>42312155.017663874</v>
      </c>
      <c r="AA43" s="112">
        <f t="shared" si="4"/>
        <v>43581519.668193787</v>
      </c>
      <c r="AB43" s="112">
        <f t="shared" si="4"/>
        <v>44888965.258239605</v>
      </c>
      <c r="AC43" s="112">
        <f t="shared" si="4"/>
        <v>46235634.215986788</v>
      </c>
      <c r="AD43" s="112">
        <f t="shared" si="4"/>
        <v>47622703.242466398</v>
      </c>
      <c r="AE43" s="112">
        <f t="shared" si="4"/>
        <v>49051384.339740388</v>
      </c>
      <c r="AF43" s="112">
        <f t="shared" si="4"/>
        <v>50522925.869932592</v>
      </c>
      <c r="AG43" s="112">
        <f t="shared" si="4"/>
        <v>52038613.646030568</v>
      </c>
      <c r="AH43" s="112">
        <f t="shared" si="4"/>
        <v>53599772.055411495</v>
      </c>
      <c r="AI43" s="112">
        <f t="shared" si="4"/>
        <v>55207765.217073835</v>
      </c>
      <c r="AJ43" s="112">
        <f t="shared" si="4"/>
        <v>56863998.173586041</v>
      </c>
      <c r="AK43" s="112">
        <f t="shared" si="4"/>
        <v>58569918.118793622</v>
      </c>
    </row>
    <row r="45" spans="1:37">
      <c r="B45" s="102" t="s">
        <v>413</v>
      </c>
    </row>
    <row r="46" spans="1:37">
      <c r="C46" s="102" t="str">
        <f>J17</f>
        <v>Repairs and Maintenance</v>
      </c>
      <c r="H46" s="107">
        <f t="shared" ref="H46:AK49" si="5">$M17*(1+$G$18)^G$35</f>
        <v>1019523</v>
      </c>
      <c r="I46" s="107">
        <f t="shared" si="5"/>
        <v>1039913.46</v>
      </c>
      <c r="J46" s="107">
        <f t="shared" si="5"/>
        <v>1060711.7291999999</v>
      </c>
      <c r="K46" s="107">
        <f t="shared" si="5"/>
        <v>1081925.9637839999</v>
      </c>
      <c r="L46" s="107">
        <f t="shared" si="5"/>
        <v>1103564.4830596801</v>
      </c>
      <c r="M46" s="107">
        <f t="shared" si="5"/>
        <v>1125635.7727208736</v>
      </c>
      <c r="N46" s="107">
        <f t="shared" si="5"/>
        <v>1148148.4881752911</v>
      </c>
      <c r="O46" s="107">
        <f t="shared" si="5"/>
        <v>1171111.4579387966</v>
      </c>
      <c r="P46" s="107">
        <f t="shared" si="5"/>
        <v>1194533.6870975727</v>
      </c>
      <c r="Q46" s="107">
        <f t="shared" si="5"/>
        <v>1218424.3608395243</v>
      </c>
      <c r="R46" s="107">
        <f t="shared" si="5"/>
        <v>1242792.8480563147</v>
      </c>
      <c r="S46" s="107">
        <f t="shared" si="5"/>
        <v>1267648.7050174407</v>
      </c>
      <c r="T46" s="107">
        <f t="shared" si="5"/>
        <v>1293001.6791177897</v>
      </c>
      <c r="U46" s="107">
        <f t="shared" si="5"/>
        <v>1318861.7127001456</v>
      </c>
      <c r="V46" s="107">
        <f t="shared" si="5"/>
        <v>1345238.9469541486</v>
      </c>
      <c r="W46" s="107">
        <f t="shared" si="5"/>
        <v>1372143.7258932311</v>
      </c>
      <c r="X46" s="107">
        <f t="shared" si="5"/>
        <v>1399586.6004110961</v>
      </c>
      <c r="Y46" s="107">
        <f t="shared" si="5"/>
        <v>1427578.3324193181</v>
      </c>
      <c r="Z46" s="107">
        <f t="shared" si="5"/>
        <v>1456129.8990677043</v>
      </c>
      <c r="AA46" s="107">
        <f t="shared" si="5"/>
        <v>1485252.4970490583</v>
      </c>
      <c r="AB46" s="107">
        <f t="shared" si="5"/>
        <v>1514957.5469900398</v>
      </c>
      <c r="AC46" s="107">
        <f t="shared" si="5"/>
        <v>1545256.6979298403</v>
      </c>
      <c r="AD46" s="107">
        <f t="shared" si="5"/>
        <v>1576161.8318884373</v>
      </c>
      <c r="AE46" s="107">
        <f t="shared" si="5"/>
        <v>1607685.0685262056</v>
      </c>
      <c r="AF46" s="107">
        <f t="shared" si="5"/>
        <v>1639838.7698967298</v>
      </c>
      <c r="AG46" s="107">
        <f t="shared" si="5"/>
        <v>1672635.5452946646</v>
      </c>
      <c r="AH46" s="107">
        <f t="shared" si="5"/>
        <v>1706088.256200558</v>
      </c>
      <c r="AI46" s="107">
        <f t="shared" si="5"/>
        <v>1740210.0213245687</v>
      </c>
      <c r="AJ46" s="107">
        <f t="shared" si="5"/>
        <v>1775014.2217510606</v>
      </c>
      <c r="AK46" s="107">
        <f t="shared" si="5"/>
        <v>1810514.5061860816</v>
      </c>
    </row>
    <row r="47" spans="1:37">
      <c r="C47" s="102" t="str">
        <f>J18</f>
        <v>Administrative</v>
      </c>
      <c r="H47" s="107">
        <f t="shared" si="5"/>
        <v>1019523</v>
      </c>
      <c r="I47" s="107">
        <f t="shared" si="5"/>
        <v>1039913.46</v>
      </c>
      <c r="J47" s="107">
        <f t="shared" si="5"/>
        <v>1060711.7291999999</v>
      </c>
      <c r="K47" s="107">
        <f t="shared" si="5"/>
        <v>1081925.9637839999</v>
      </c>
      <c r="L47" s="107">
        <f t="shared" si="5"/>
        <v>1103564.4830596801</v>
      </c>
      <c r="M47" s="107">
        <f t="shared" si="5"/>
        <v>1125635.7727208736</v>
      </c>
      <c r="N47" s="107">
        <f t="shared" si="5"/>
        <v>1148148.4881752911</v>
      </c>
      <c r="O47" s="107">
        <f t="shared" si="5"/>
        <v>1171111.4579387966</v>
      </c>
      <c r="P47" s="107">
        <f t="shared" si="5"/>
        <v>1194533.6870975727</v>
      </c>
      <c r="Q47" s="107">
        <f t="shared" si="5"/>
        <v>1218424.3608395243</v>
      </c>
      <c r="R47" s="107">
        <f t="shared" si="5"/>
        <v>1242792.8480563147</v>
      </c>
      <c r="S47" s="107">
        <f t="shared" si="5"/>
        <v>1267648.7050174407</v>
      </c>
      <c r="T47" s="107">
        <f t="shared" si="5"/>
        <v>1293001.6791177897</v>
      </c>
      <c r="U47" s="107">
        <f t="shared" si="5"/>
        <v>1318861.7127001456</v>
      </c>
      <c r="V47" s="107">
        <f t="shared" si="5"/>
        <v>1345238.9469541486</v>
      </c>
      <c r="W47" s="107">
        <f t="shared" si="5"/>
        <v>1372143.7258932311</v>
      </c>
      <c r="X47" s="107">
        <f t="shared" si="5"/>
        <v>1399586.6004110961</v>
      </c>
      <c r="Y47" s="107">
        <f t="shared" si="5"/>
        <v>1427578.3324193181</v>
      </c>
      <c r="Z47" s="107">
        <f t="shared" si="5"/>
        <v>1456129.8990677043</v>
      </c>
      <c r="AA47" s="107">
        <f t="shared" si="5"/>
        <v>1485252.4970490583</v>
      </c>
      <c r="AB47" s="107">
        <f t="shared" si="5"/>
        <v>1514957.5469900398</v>
      </c>
      <c r="AC47" s="107">
        <f t="shared" si="5"/>
        <v>1545256.6979298403</v>
      </c>
      <c r="AD47" s="107">
        <f t="shared" si="5"/>
        <v>1576161.8318884373</v>
      </c>
      <c r="AE47" s="107">
        <f t="shared" si="5"/>
        <v>1607685.0685262056</v>
      </c>
      <c r="AF47" s="107">
        <f t="shared" si="5"/>
        <v>1639838.7698967298</v>
      </c>
      <c r="AG47" s="107">
        <f t="shared" si="5"/>
        <v>1672635.5452946646</v>
      </c>
      <c r="AH47" s="107">
        <f t="shared" si="5"/>
        <v>1706088.256200558</v>
      </c>
      <c r="AI47" s="107">
        <f t="shared" si="5"/>
        <v>1740210.0213245687</v>
      </c>
      <c r="AJ47" s="107">
        <f t="shared" si="5"/>
        <v>1775014.2217510606</v>
      </c>
      <c r="AK47" s="107">
        <f t="shared" si="5"/>
        <v>1810514.5061860816</v>
      </c>
    </row>
    <row r="48" spans="1:37">
      <c r="C48" s="102" t="str">
        <f>J19</f>
        <v>Utilities</v>
      </c>
      <c r="H48" s="107">
        <f t="shared" si="5"/>
        <v>1359364</v>
      </c>
      <c r="I48" s="107">
        <f t="shared" si="5"/>
        <v>1386551.28</v>
      </c>
      <c r="J48" s="107">
        <f t="shared" si="5"/>
        <v>1414282.3056000001</v>
      </c>
      <c r="K48" s="107">
        <f t="shared" si="5"/>
        <v>1442567.951712</v>
      </c>
      <c r="L48" s="107">
        <f t="shared" si="5"/>
        <v>1471419.31074624</v>
      </c>
      <c r="M48" s="107">
        <f t="shared" si="5"/>
        <v>1500847.6969611647</v>
      </c>
      <c r="N48" s="107">
        <f t="shared" si="5"/>
        <v>1530864.6509003881</v>
      </c>
      <c r="O48" s="107">
        <f t="shared" si="5"/>
        <v>1561481.9439183956</v>
      </c>
      <c r="P48" s="107">
        <f t="shared" si="5"/>
        <v>1592711.5827967636</v>
      </c>
      <c r="Q48" s="107">
        <f t="shared" si="5"/>
        <v>1624565.8144526989</v>
      </c>
      <c r="R48" s="107">
        <f t="shared" si="5"/>
        <v>1657057.1307417529</v>
      </c>
      <c r="S48" s="107">
        <f t="shared" si="5"/>
        <v>1690198.2733565879</v>
      </c>
      <c r="T48" s="107">
        <f t="shared" si="5"/>
        <v>1724002.2388237198</v>
      </c>
      <c r="U48" s="107">
        <f t="shared" si="5"/>
        <v>1758482.2836001941</v>
      </c>
      <c r="V48" s="107">
        <f t="shared" si="5"/>
        <v>1793651.9292721981</v>
      </c>
      <c r="W48" s="107">
        <f t="shared" si="5"/>
        <v>1829524.9678576416</v>
      </c>
      <c r="X48" s="107">
        <f t="shared" si="5"/>
        <v>1866115.4672147948</v>
      </c>
      <c r="Y48" s="107">
        <f t="shared" si="5"/>
        <v>1903437.7765590907</v>
      </c>
      <c r="Z48" s="107">
        <f t="shared" si="5"/>
        <v>1941506.5320902723</v>
      </c>
      <c r="AA48" s="107">
        <f t="shared" si="5"/>
        <v>1980336.6627320778</v>
      </c>
      <c r="AB48" s="107">
        <f t="shared" si="5"/>
        <v>2019943.3959867195</v>
      </c>
      <c r="AC48" s="107">
        <f t="shared" si="5"/>
        <v>2060342.2639064537</v>
      </c>
      <c r="AD48" s="107">
        <f t="shared" si="5"/>
        <v>2101549.1091845832</v>
      </c>
      <c r="AE48" s="107">
        <f t="shared" si="5"/>
        <v>2143580.0913682743</v>
      </c>
      <c r="AF48" s="107">
        <f t="shared" si="5"/>
        <v>2186451.6931956396</v>
      </c>
      <c r="AG48" s="107">
        <f t="shared" si="5"/>
        <v>2230180.7270595524</v>
      </c>
      <c r="AH48" s="107">
        <f t="shared" si="5"/>
        <v>2274784.3416007441</v>
      </c>
      <c r="AI48" s="107">
        <f t="shared" si="5"/>
        <v>2320280.0284327585</v>
      </c>
      <c r="AJ48" s="107">
        <f t="shared" si="5"/>
        <v>2366685.6290014139</v>
      </c>
      <c r="AK48" s="107">
        <f t="shared" si="5"/>
        <v>2414019.3415814419</v>
      </c>
    </row>
    <row r="49" spans="2:37">
      <c r="C49" s="102" t="str">
        <f>J20</f>
        <v>Real Estate Taxes</v>
      </c>
      <c r="H49" s="107">
        <f t="shared" si="5"/>
        <v>1656928.7796</v>
      </c>
      <c r="I49" s="107">
        <f t="shared" ref="I49" si="6">$M20*(1+$G$18)^H$35</f>
        <v>1690067.355192</v>
      </c>
      <c r="J49" s="107">
        <f t="shared" ref="J49" si="7">$M20*(1+$G$18)^I$35</f>
        <v>1723868.70229584</v>
      </c>
      <c r="K49" s="107">
        <f t="shared" ref="K49" si="8">$M20*(1+$G$18)^J$35</f>
        <v>1758346.0763417566</v>
      </c>
      <c r="L49" s="107">
        <f t="shared" ref="L49" si="9">$M20*(1+$G$18)^K$35</f>
        <v>1793512.9978685919</v>
      </c>
      <c r="M49" s="107">
        <f t="shared" ref="M49" si="10">$M20*(1+$G$18)^L$35</f>
        <v>1829383.2578259639</v>
      </c>
      <c r="N49" s="107">
        <f t="shared" ref="N49" si="11">$M20*(1+$G$18)^M$35</f>
        <v>1865970.9229824832</v>
      </c>
      <c r="O49" s="107">
        <f t="shared" ref="O49" si="12">$M20*(1+$G$18)^N$35</f>
        <v>1903290.3414421324</v>
      </c>
      <c r="P49" s="107">
        <f t="shared" ref="P49" si="13">$M20*(1+$G$18)^O$35</f>
        <v>1941356.1482709753</v>
      </c>
      <c r="Q49" s="107">
        <f t="shared" ref="Q49" si="14">$M20*(1+$G$18)^P$35</f>
        <v>1980183.2712363948</v>
      </c>
      <c r="R49" s="107">
        <f t="shared" ref="R49" si="15">$M20*(1+$G$18)^Q$35</f>
        <v>2019786.9366611228</v>
      </c>
      <c r="S49" s="107">
        <f t="shared" ref="S49" si="16">$M20*(1+$G$18)^R$35</f>
        <v>2060182.6753943448</v>
      </c>
      <c r="T49" s="107">
        <f t="shared" ref="T49" si="17">$M20*(1+$G$18)^S$35</f>
        <v>2101386.328902232</v>
      </c>
      <c r="U49" s="107">
        <f t="shared" ref="U49" si="18">$M20*(1+$G$18)^T$35</f>
        <v>2143414.0554802767</v>
      </c>
      <c r="V49" s="107">
        <f t="shared" ref="V49" si="19">$M20*(1+$G$18)^U$35</f>
        <v>2186282.3365898822</v>
      </c>
      <c r="W49" s="107">
        <f t="shared" ref="W49" si="20">$M20*(1+$G$18)^V$35</f>
        <v>2230007.9833216793</v>
      </c>
      <c r="X49" s="107">
        <f t="shared" ref="X49" si="21">$M20*(1+$G$18)^W$35</f>
        <v>2274608.1429881132</v>
      </c>
      <c r="Y49" s="107">
        <f t="shared" ref="Y49" si="22">$M20*(1+$G$18)^X$35</f>
        <v>2320100.3058478758</v>
      </c>
      <c r="Z49" s="107">
        <f t="shared" ref="Z49" si="23">$M20*(1+$G$18)^Y$35</f>
        <v>2366502.3119648332</v>
      </c>
      <c r="AA49" s="107">
        <f t="shared" ref="AA49" si="24">$M20*(1+$G$18)^Z$35</f>
        <v>2413832.3582041296</v>
      </c>
      <c r="AB49" s="107">
        <f t="shared" ref="AB49" si="25">$M20*(1+$G$18)^AA$35</f>
        <v>2462109.0053682122</v>
      </c>
      <c r="AC49" s="107">
        <f t="shared" ref="AC49" si="26">$M20*(1+$G$18)^AB$35</f>
        <v>2511351.1854755767</v>
      </c>
      <c r="AD49" s="107">
        <f t="shared" ref="AD49" si="27">$M20*(1+$G$18)^AC$35</f>
        <v>2561578.2091850881</v>
      </c>
      <c r="AE49" s="107">
        <f t="shared" ref="AE49" si="28">$M20*(1+$G$18)^AD$35</f>
        <v>2612809.7733687893</v>
      </c>
      <c r="AF49" s="107">
        <f t="shared" ref="AF49" si="29">$M20*(1+$G$18)^AE$35</f>
        <v>2665065.9688361655</v>
      </c>
      <c r="AG49" s="107">
        <f t="shared" ref="AG49" si="30">$M20*(1+$G$18)^AF$35</f>
        <v>2718367.2882128889</v>
      </c>
      <c r="AH49" s="107">
        <f t="shared" ref="AH49" si="31">$M20*(1+$G$18)^AG$35</f>
        <v>2772734.6339771468</v>
      </c>
      <c r="AI49" s="107">
        <f t="shared" ref="AI49" si="32">$M20*(1+$G$18)^AH$35</f>
        <v>2828189.3266566894</v>
      </c>
      <c r="AJ49" s="107">
        <f t="shared" ref="AJ49" si="33">$M20*(1+$G$18)^AI$35</f>
        <v>2884753.1131898235</v>
      </c>
      <c r="AK49" s="107">
        <f t="shared" ref="AK49" si="34">$M20*(1+$G$18)^AJ$35</f>
        <v>2942448.1754536196</v>
      </c>
    </row>
    <row r="50" spans="2:37">
      <c r="C50" s="102" t="str">
        <f>J21</f>
        <v>Property Management Fee (% gross revenue)</v>
      </c>
      <c r="H50" s="107">
        <f t="shared" ref="H50:AK50" si="35">H40*$N$21</f>
        <v>828464.3898</v>
      </c>
      <c r="I50" s="107">
        <f t="shared" si="35"/>
        <v>853318.32149400003</v>
      </c>
      <c r="J50" s="107">
        <f t="shared" si="35"/>
        <v>878917.87113881996</v>
      </c>
      <c r="K50" s="107">
        <f t="shared" si="35"/>
        <v>905285.40727298462</v>
      </c>
      <c r="L50" s="107">
        <f t="shared" si="35"/>
        <v>932443.96949117398</v>
      </c>
      <c r="M50" s="107">
        <f t="shared" si="35"/>
        <v>960417.28857590922</v>
      </c>
      <c r="N50" s="107">
        <f t="shared" si="35"/>
        <v>989229.80723318656</v>
      </c>
      <c r="O50" s="107">
        <f t="shared" si="35"/>
        <v>1018906.7014501822</v>
      </c>
      <c r="P50" s="107">
        <f t="shared" si="35"/>
        <v>1049473.9024936876</v>
      </c>
      <c r="Q50" s="107">
        <f t="shared" si="35"/>
        <v>1080958.1195684981</v>
      </c>
      <c r="R50" s="107">
        <f t="shared" si="35"/>
        <v>1113386.8631555531</v>
      </c>
      <c r="S50" s="107">
        <f t="shared" si="35"/>
        <v>1146788.4690502197</v>
      </c>
      <c r="T50" s="107">
        <f t="shared" si="35"/>
        <v>1181192.1231217261</v>
      </c>
      <c r="U50" s="107">
        <f t="shared" si="35"/>
        <v>1216627.886815378</v>
      </c>
      <c r="V50" s="107">
        <f t="shared" si="35"/>
        <v>1253126.7234198393</v>
      </c>
      <c r="W50" s="107">
        <f t="shared" si="35"/>
        <v>1290720.5251224348</v>
      </c>
      <c r="X50" s="107">
        <f t="shared" si="35"/>
        <v>1329442.1408761076</v>
      </c>
      <c r="Y50" s="107">
        <f t="shared" si="35"/>
        <v>1369325.4051023908</v>
      </c>
      <c r="Z50" s="107">
        <f t="shared" si="35"/>
        <v>1410405.1672554624</v>
      </c>
      <c r="AA50" s="107">
        <f t="shared" si="35"/>
        <v>1452717.3222731261</v>
      </c>
      <c r="AB50" s="107">
        <f t="shared" si="35"/>
        <v>1496298.8419413201</v>
      </c>
      <c r="AC50" s="107">
        <f t="shared" si="35"/>
        <v>1541187.8071995594</v>
      </c>
      <c r="AD50" s="107">
        <f t="shared" si="35"/>
        <v>1587423.4414155465</v>
      </c>
      <c r="AE50" s="107">
        <f t="shared" si="35"/>
        <v>1635046.1446580128</v>
      </c>
      <c r="AF50" s="107">
        <f t="shared" si="35"/>
        <v>1684097.528997753</v>
      </c>
      <c r="AG50" s="107">
        <f t="shared" si="35"/>
        <v>1734620.4548676854</v>
      </c>
      <c r="AH50" s="107">
        <f t="shared" si="35"/>
        <v>1786659.0685137166</v>
      </c>
      <c r="AI50" s="107">
        <f t="shared" si="35"/>
        <v>1840258.8405691276</v>
      </c>
      <c r="AJ50" s="107">
        <f t="shared" si="35"/>
        <v>1895466.6057862013</v>
      </c>
      <c r="AK50" s="107">
        <f t="shared" si="35"/>
        <v>1952330.6039597872</v>
      </c>
    </row>
    <row r="51" spans="2:37">
      <c r="B51" s="111" t="s">
        <v>414</v>
      </c>
      <c r="C51" s="111"/>
      <c r="D51" s="111"/>
      <c r="E51" s="111"/>
      <c r="F51" s="111"/>
      <c r="G51" s="111"/>
      <c r="H51" s="112">
        <f t="shared" ref="H51:R51" si="36">SUM(H46:H50)</f>
        <v>5883803.1694</v>
      </c>
      <c r="I51" s="112">
        <f t="shared" si="36"/>
        <v>6009763.8766860003</v>
      </c>
      <c r="J51" s="112">
        <f t="shared" si="36"/>
        <v>6138492.3374346606</v>
      </c>
      <c r="K51" s="112">
        <f t="shared" si="36"/>
        <v>6270051.3628947409</v>
      </c>
      <c r="L51" s="112">
        <f t="shared" si="36"/>
        <v>6404505.244225366</v>
      </c>
      <c r="M51" s="112">
        <f t="shared" si="36"/>
        <v>6541919.7888047853</v>
      </c>
      <c r="N51" s="112">
        <f t="shared" si="36"/>
        <v>6682362.35746664</v>
      </c>
      <c r="O51" s="112">
        <f t="shared" si="36"/>
        <v>6825901.902688303</v>
      </c>
      <c r="P51" s="112">
        <f t="shared" si="36"/>
        <v>6972609.0077565722</v>
      </c>
      <c r="Q51" s="112">
        <f t="shared" si="36"/>
        <v>7122555.9269366404</v>
      </c>
      <c r="R51" s="112">
        <f t="shared" si="36"/>
        <v>7275816.6266710591</v>
      </c>
      <c r="S51" s="112">
        <f t="shared" ref="S51:AK51" si="37">SUM(S46:S50)</f>
        <v>7432466.8278360348</v>
      </c>
      <c r="T51" s="112">
        <f t="shared" si="37"/>
        <v>7592584.049083258</v>
      </c>
      <c r="U51" s="112">
        <f t="shared" si="37"/>
        <v>7756247.6512961406</v>
      </c>
      <c r="V51" s="112">
        <f t="shared" si="37"/>
        <v>7923538.8831902165</v>
      </c>
      <c r="W51" s="112">
        <f t="shared" si="37"/>
        <v>8094540.9280882189</v>
      </c>
      <c r="X51" s="112">
        <f t="shared" si="37"/>
        <v>8269338.9519012077</v>
      </c>
      <c r="Y51" s="112">
        <f t="shared" si="37"/>
        <v>8448020.1523479931</v>
      </c>
      <c r="Z51" s="112">
        <f t="shared" si="37"/>
        <v>8630673.8094459772</v>
      </c>
      <c r="AA51" s="112">
        <f t="shared" si="37"/>
        <v>8817391.3373074494</v>
      </c>
      <c r="AB51" s="112">
        <f t="shared" si="37"/>
        <v>9008266.3372763302</v>
      </c>
      <c r="AC51" s="112">
        <f t="shared" si="37"/>
        <v>9203394.6524412706</v>
      </c>
      <c r="AD51" s="112">
        <f t="shared" si="37"/>
        <v>9402874.4235620927</v>
      </c>
      <c r="AE51" s="112">
        <f t="shared" si="37"/>
        <v>9606806.1464474872</v>
      </c>
      <c r="AF51" s="112">
        <f t="shared" si="37"/>
        <v>9815292.7308230177</v>
      </c>
      <c r="AG51" s="112">
        <f t="shared" si="37"/>
        <v>10028439.560729457</v>
      </c>
      <c r="AH51" s="112">
        <f t="shared" si="37"/>
        <v>10246354.556492724</v>
      </c>
      <c r="AI51" s="112">
        <f t="shared" si="37"/>
        <v>10469148.238307713</v>
      </c>
      <c r="AJ51" s="112">
        <f t="shared" si="37"/>
        <v>10696933.79147956</v>
      </c>
      <c r="AK51" s="112">
        <f t="shared" si="37"/>
        <v>10929827.133367013</v>
      </c>
    </row>
    <row r="53" spans="2:37">
      <c r="B53" s="102" t="s">
        <v>524</v>
      </c>
      <c r="H53" s="107">
        <f t="shared" ref="H53:AK53" si="38">H43-H51</f>
        <v>18970128.524600003</v>
      </c>
      <c r="I53" s="107">
        <f t="shared" si="38"/>
        <v>19589785.768134002</v>
      </c>
      <c r="J53" s="107">
        <f t="shared" si="38"/>
        <v>20229043.796729941</v>
      </c>
      <c r="K53" s="107">
        <f t="shared" si="38"/>
        <v>20888510.855294801</v>
      </c>
      <c r="L53" s="107">
        <f t="shared" si="38"/>
        <v>21568813.840509854</v>
      </c>
      <c r="M53" s="107">
        <f t="shared" si="38"/>
        <v>22270598.868472494</v>
      </c>
      <c r="N53" s="107">
        <f t="shared" si="38"/>
        <v>22994531.859528959</v>
      </c>
      <c r="O53" s="107">
        <f t="shared" si="38"/>
        <v>23741299.140817165</v>
      </c>
      <c r="P53" s="107">
        <f t="shared" si="38"/>
        <v>24511608.067054056</v>
      </c>
      <c r="Q53" s="107">
        <f t="shared" si="38"/>
        <v>25306187.660118304</v>
      </c>
      <c r="R53" s="107">
        <f t="shared" si="38"/>
        <v>26125789.267995536</v>
      </c>
      <c r="S53" s="107">
        <f t="shared" si="38"/>
        <v>26971187.24367056</v>
      </c>
      <c r="T53" s="107">
        <f t="shared" si="38"/>
        <v>27843179.644568529</v>
      </c>
      <c r="U53" s="107">
        <f t="shared" si="38"/>
        <v>28742588.953165203</v>
      </c>
      <c r="V53" s="107">
        <f t="shared" si="38"/>
        <v>29670262.819404967</v>
      </c>
      <c r="W53" s="107">
        <f t="shared" si="38"/>
        <v>30627074.825584829</v>
      </c>
      <c r="X53" s="107">
        <f t="shared" si="38"/>
        <v>31613925.274382021</v>
      </c>
      <c r="Y53" s="107">
        <f t="shared" si="38"/>
        <v>32631742.000723731</v>
      </c>
      <c r="Z53" s="107">
        <f t="shared" si="38"/>
        <v>33681481.208217897</v>
      </c>
      <c r="AA53" s="107">
        <f t="shared" si="38"/>
        <v>34764128.330886334</v>
      </c>
      <c r="AB53" s="107">
        <f t="shared" si="38"/>
        <v>35880698.920963272</v>
      </c>
      <c r="AC53" s="107">
        <f t="shared" si="38"/>
        <v>37032239.563545518</v>
      </c>
      <c r="AD53" s="107">
        <f t="shared" si="38"/>
        <v>38219828.818904303</v>
      </c>
      <c r="AE53" s="107">
        <f t="shared" si="38"/>
        <v>39444578.193292901</v>
      </c>
      <c r="AF53" s="107">
        <f t="shared" si="38"/>
        <v>40707633.139109574</v>
      </c>
      <c r="AG53" s="107">
        <f t="shared" si="38"/>
        <v>42010174.085301109</v>
      </c>
      <c r="AH53" s="107">
        <f t="shared" si="38"/>
        <v>43353417.498918772</v>
      </c>
      <c r="AI53" s="107">
        <f t="shared" si="38"/>
        <v>44738616.978766121</v>
      </c>
      <c r="AJ53" s="107">
        <f t="shared" si="38"/>
        <v>46167064.382106483</v>
      </c>
      <c r="AK53" s="107">
        <f t="shared" si="38"/>
        <v>47640090.985426605</v>
      </c>
    </row>
    <row r="55" spans="2:37">
      <c r="B55" s="102" t="s">
        <v>582</v>
      </c>
    </row>
    <row r="56" spans="2:37">
      <c r="C56" s="102" t="s">
        <v>583</v>
      </c>
      <c r="H56" s="107">
        <f>-IF($G$25=10,SUM(H88:R88)*G12,SUM(H88:L88)*$G$12)</f>
        <v>-21221605.28334799</v>
      </c>
    </row>
    <row r="57" spans="2:37">
      <c r="C57" s="102" t="s">
        <v>584</v>
      </c>
      <c r="H57" s="107">
        <f>-G20*G12</f>
        <v>-33984100</v>
      </c>
    </row>
    <row r="59" spans="2:37">
      <c r="B59" s="102" t="s">
        <v>6</v>
      </c>
      <c r="G59" s="107">
        <f t="shared" ref="G59:AK59" ca="1" si="39">IF(G35&lt;=$G$25+1,G38+G53+SUM(G56:G57),0)</f>
        <v>-258972961.49793154</v>
      </c>
      <c r="H59" s="107">
        <f t="shared" si="39"/>
        <v>-36235576.758747995</v>
      </c>
      <c r="I59" s="107">
        <f t="shared" si="39"/>
        <v>19589785.768134002</v>
      </c>
      <c r="J59" s="107">
        <f t="shared" si="39"/>
        <v>20229043.796729941</v>
      </c>
      <c r="K59" s="107">
        <f t="shared" si="39"/>
        <v>20888510.855294801</v>
      </c>
      <c r="L59" s="107">
        <f t="shared" si="39"/>
        <v>21568813.840509854</v>
      </c>
      <c r="M59" s="107">
        <f t="shared" si="39"/>
        <v>22270598.868472494</v>
      </c>
      <c r="N59" s="107">
        <f t="shared" si="39"/>
        <v>22994531.859528959</v>
      </c>
      <c r="O59" s="107">
        <f t="shared" si="39"/>
        <v>23741299.140817165</v>
      </c>
      <c r="P59" s="107">
        <f t="shared" si="39"/>
        <v>24511608.067054056</v>
      </c>
      <c r="Q59" s="107">
        <f t="shared" si="39"/>
        <v>25306187.660118304</v>
      </c>
      <c r="R59" s="107">
        <f t="shared" si="39"/>
        <v>26125789.267995536</v>
      </c>
      <c r="S59" s="107">
        <f t="shared" si="39"/>
        <v>0</v>
      </c>
      <c r="T59" s="107">
        <f t="shared" si="39"/>
        <v>0</v>
      </c>
      <c r="U59" s="107">
        <f t="shared" si="39"/>
        <v>0</v>
      </c>
      <c r="V59" s="107">
        <f t="shared" si="39"/>
        <v>0</v>
      </c>
      <c r="W59" s="107">
        <f t="shared" si="39"/>
        <v>0</v>
      </c>
      <c r="X59" s="107">
        <f t="shared" si="39"/>
        <v>0</v>
      </c>
      <c r="Y59" s="107">
        <f t="shared" si="39"/>
        <v>0</v>
      </c>
      <c r="Z59" s="107">
        <f t="shared" si="39"/>
        <v>0</v>
      </c>
      <c r="AA59" s="107">
        <f t="shared" si="39"/>
        <v>0</v>
      </c>
      <c r="AB59" s="107">
        <f t="shared" si="39"/>
        <v>0</v>
      </c>
      <c r="AC59" s="107">
        <f t="shared" si="39"/>
        <v>0</v>
      </c>
      <c r="AD59" s="107">
        <f t="shared" si="39"/>
        <v>0</v>
      </c>
      <c r="AE59" s="107">
        <f t="shared" si="39"/>
        <v>0</v>
      </c>
      <c r="AF59" s="107">
        <f t="shared" si="39"/>
        <v>0</v>
      </c>
      <c r="AG59" s="107">
        <f t="shared" si="39"/>
        <v>0</v>
      </c>
      <c r="AH59" s="107">
        <f t="shared" si="39"/>
        <v>0</v>
      </c>
      <c r="AI59" s="107">
        <f t="shared" si="39"/>
        <v>0</v>
      </c>
      <c r="AJ59" s="107">
        <f t="shared" si="39"/>
        <v>0</v>
      </c>
      <c r="AK59" s="107">
        <f t="shared" si="39"/>
        <v>0</v>
      </c>
    </row>
    <row r="60" spans="2:37"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</row>
    <row r="61" spans="2:37">
      <c r="B61" s="102" t="s">
        <v>525</v>
      </c>
      <c r="H61" s="107">
        <f t="shared" ref="H61:AJ61" si="40">IF(H35=$G$25,I59/$G$23,0)</f>
        <v>0</v>
      </c>
      <c r="I61" s="107">
        <f t="shared" si="40"/>
        <v>0</v>
      </c>
      <c r="J61" s="107">
        <f t="shared" si="40"/>
        <v>0</v>
      </c>
      <c r="K61" s="107">
        <f t="shared" si="40"/>
        <v>0</v>
      </c>
      <c r="L61" s="107">
        <f t="shared" si="40"/>
        <v>0</v>
      </c>
      <c r="M61" s="107">
        <f t="shared" si="40"/>
        <v>0</v>
      </c>
      <c r="N61" s="107">
        <f t="shared" si="40"/>
        <v>0</v>
      </c>
      <c r="O61" s="107">
        <f t="shared" si="40"/>
        <v>0</v>
      </c>
      <c r="P61" s="107">
        <f t="shared" si="40"/>
        <v>0</v>
      </c>
      <c r="Q61" s="107">
        <f t="shared" si="40"/>
        <v>475014350.32719159</v>
      </c>
      <c r="R61" s="107">
        <f t="shared" si="40"/>
        <v>0</v>
      </c>
      <c r="S61" s="107">
        <f t="shared" si="40"/>
        <v>0</v>
      </c>
      <c r="T61" s="107">
        <f t="shared" si="40"/>
        <v>0</v>
      </c>
      <c r="U61" s="107">
        <f t="shared" si="40"/>
        <v>0</v>
      </c>
      <c r="V61" s="107">
        <f t="shared" si="40"/>
        <v>0</v>
      </c>
      <c r="W61" s="107">
        <f t="shared" si="40"/>
        <v>0</v>
      </c>
      <c r="X61" s="107">
        <f t="shared" si="40"/>
        <v>0</v>
      </c>
      <c r="Y61" s="107">
        <f t="shared" si="40"/>
        <v>0</v>
      </c>
      <c r="Z61" s="107">
        <f t="shared" si="40"/>
        <v>0</v>
      </c>
      <c r="AA61" s="107">
        <f t="shared" si="40"/>
        <v>0</v>
      </c>
      <c r="AB61" s="107">
        <f t="shared" si="40"/>
        <v>0</v>
      </c>
      <c r="AC61" s="107">
        <f t="shared" si="40"/>
        <v>0</v>
      </c>
      <c r="AD61" s="107">
        <f t="shared" si="40"/>
        <v>0</v>
      </c>
      <c r="AE61" s="107">
        <f t="shared" si="40"/>
        <v>0</v>
      </c>
      <c r="AF61" s="107">
        <f t="shared" si="40"/>
        <v>0</v>
      </c>
      <c r="AG61" s="107">
        <f t="shared" si="40"/>
        <v>0</v>
      </c>
      <c r="AH61" s="107">
        <f t="shared" si="40"/>
        <v>0</v>
      </c>
      <c r="AI61" s="107">
        <f t="shared" si="40"/>
        <v>0</v>
      </c>
      <c r="AJ61" s="107">
        <f t="shared" si="40"/>
        <v>0</v>
      </c>
      <c r="AK61" s="107">
        <f>IF(AK35=$G$25,#REF!/$G$23,0)</f>
        <v>0</v>
      </c>
    </row>
    <row r="62" spans="2:37">
      <c r="B62" s="102" t="s">
        <v>393</v>
      </c>
      <c r="H62" s="107">
        <f>-H61*$G$26</f>
        <v>0</v>
      </c>
      <c r="I62" s="107">
        <f t="shared" ref="I62:AK62" si="41">-I61*$G$26</f>
        <v>0</v>
      </c>
      <c r="J62" s="107">
        <f t="shared" si="41"/>
        <v>0</v>
      </c>
      <c r="K62" s="107">
        <f t="shared" si="41"/>
        <v>0</v>
      </c>
      <c r="L62" s="107">
        <f t="shared" si="41"/>
        <v>0</v>
      </c>
      <c r="M62" s="107">
        <f t="shared" si="41"/>
        <v>0</v>
      </c>
      <c r="N62" s="107">
        <f t="shared" si="41"/>
        <v>0</v>
      </c>
      <c r="O62" s="107">
        <f t="shared" si="41"/>
        <v>0</v>
      </c>
      <c r="P62" s="107">
        <f t="shared" si="41"/>
        <v>0</v>
      </c>
      <c r="Q62" s="107">
        <f t="shared" si="41"/>
        <v>0</v>
      </c>
      <c r="R62" s="107">
        <f t="shared" si="41"/>
        <v>0</v>
      </c>
      <c r="S62" s="107">
        <f t="shared" si="41"/>
        <v>0</v>
      </c>
      <c r="T62" s="107">
        <f t="shared" si="41"/>
        <v>0</v>
      </c>
      <c r="U62" s="107">
        <f t="shared" si="41"/>
        <v>0</v>
      </c>
      <c r="V62" s="107">
        <f t="shared" si="41"/>
        <v>0</v>
      </c>
      <c r="W62" s="107">
        <f t="shared" si="41"/>
        <v>0</v>
      </c>
      <c r="X62" s="107">
        <f t="shared" si="41"/>
        <v>0</v>
      </c>
      <c r="Y62" s="107">
        <f t="shared" si="41"/>
        <v>0</v>
      </c>
      <c r="Z62" s="107">
        <f t="shared" si="41"/>
        <v>0</v>
      </c>
      <c r="AA62" s="107">
        <f t="shared" si="41"/>
        <v>0</v>
      </c>
      <c r="AB62" s="107">
        <f t="shared" si="41"/>
        <v>0</v>
      </c>
      <c r="AC62" s="107">
        <f t="shared" si="41"/>
        <v>0</v>
      </c>
      <c r="AD62" s="107">
        <f t="shared" si="41"/>
        <v>0</v>
      </c>
      <c r="AE62" s="107">
        <f t="shared" si="41"/>
        <v>0</v>
      </c>
      <c r="AF62" s="107">
        <f t="shared" si="41"/>
        <v>0</v>
      </c>
      <c r="AG62" s="107">
        <f t="shared" si="41"/>
        <v>0</v>
      </c>
      <c r="AH62" s="107">
        <f t="shared" si="41"/>
        <v>0</v>
      </c>
      <c r="AI62" s="107">
        <f t="shared" si="41"/>
        <v>0</v>
      </c>
      <c r="AJ62" s="107">
        <f t="shared" si="41"/>
        <v>0</v>
      </c>
      <c r="AK62" s="107">
        <f t="shared" si="41"/>
        <v>0</v>
      </c>
    </row>
    <row r="63" spans="2:37">
      <c r="B63" s="111" t="s">
        <v>526</v>
      </c>
      <c r="C63" s="111"/>
      <c r="D63" s="111"/>
      <c r="E63" s="111"/>
      <c r="F63" s="111"/>
      <c r="G63" s="112">
        <f ca="1">SUM(G59:G62)</f>
        <v>-258972961.49793154</v>
      </c>
      <c r="H63" s="112">
        <f t="shared" ref="H63:AK63" si="42">SUM(H59:H62)</f>
        <v>-36235576.758747995</v>
      </c>
      <c r="I63" s="112">
        <f t="shared" si="42"/>
        <v>19589785.768134002</v>
      </c>
      <c r="J63" s="112">
        <f t="shared" si="42"/>
        <v>20229043.796729941</v>
      </c>
      <c r="K63" s="112">
        <f t="shared" si="42"/>
        <v>20888510.855294801</v>
      </c>
      <c r="L63" s="112">
        <f t="shared" si="42"/>
        <v>21568813.840509854</v>
      </c>
      <c r="M63" s="112">
        <f t="shared" si="42"/>
        <v>22270598.868472494</v>
      </c>
      <c r="N63" s="112">
        <f t="shared" si="42"/>
        <v>22994531.859528959</v>
      </c>
      <c r="O63" s="112">
        <f t="shared" si="42"/>
        <v>23741299.140817165</v>
      </c>
      <c r="P63" s="112">
        <f t="shared" si="42"/>
        <v>24511608.067054056</v>
      </c>
      <c r="Q63" s="112">
        <f t="shared" si="42"/>
        <v>500320537.98730987</v>
      </c>
      <c r="R63" s="112">
        <f t="shared" si="42"/>
        <v>26125789.267995536</v>
      </c>
      <c r="S63" s="112">
        <f t="shared" si="42"/>
        <v>0</v>
      </c>
      <c r="T63" s="112">
        <f t="shared" si="42"/>
        <v>0</v>
      </c>
      <c r="U63" s="112">
        <f t="shared" si="42"/>
        <v>0</v>
      </c>
      <c r="V63" s="112">
        <f t="shared" si="42"/>
        <v>0</v>
      </c>
      <c r="W63" s="112">
        <f t="shared" si="42"/>
        <v>0</v>
      </c>
      <c r="X63" s="112">
        <f t="shared" si="42"/>
        <v>0</v>
      </c>
      <c r="Y63" s="112">
        <f t="shared" si="42"/>
        <v>0</v>
      </c>
      <c r="Z63" s="112">
        <f t="shared" si="42"/>
        <v>0</v>
      </c>
      <c r="AA63" s="112">
        <f t="shared" si="42"/>
        <v>0</v>
      </c>
      <c r="AB63" s="112">
        <f t="shared" si="42"/>
        <v>0</v>
      </c>
      <c r="AC63" s="112">
        <f t="shared" si="42"/>
        <v>0</v>
      </c>
      <c r="AD63" s="112">
        <f t="shared" si="42"/>
        <v>0</v>
      </c>
      <c r="AE63" s="112">
        <f t="shared" si="42"/>
        <v>0</v>
      </c>
      <c r="AF63" s="112">
        <f t="shared" si="42"/>
        <v>0</v>
      </c>
      <c r="AG63" s="112">
        <f t="shared" si="42"/>
        <v>0</v>
      </c>
      <c r="AH63" s="112">
        <f t="shared" si="42"/>
        <v>0</v>
      </c>
      <c r="AI63" s="112">
        <f t="shared" si="42"/>
        <v>0</v>
      </c>
      <c r="AJ63" s="112">
        <f t="shared" si="42"/>
        <v>0</v>
      </c>
      <c r="AK63" s="112">
        <f t="shared" si="42"/>
        <v>0</v>
      </c>
    </row>
    <row r="64" spans="2:37" ht="15" thickBot="1"/>
    <row r="65" spans="2:37">
      <c r="B65" s="122" t="s">
        <v>527</v>
      </c>
      <c r="C65" s="123"/>
      <c r="D65" s="123"/>
      <c r="E65" s="123"/>
      <c r="F65" s="123"/>
      <c r="G65" s="124">
        <f ca="1">SUM(G63:R63)</f>
        <v>407031981.19516712</v>
      </c>
    </row>
    <row r="66" spans="2:37">
      <c r="B66" s="125" t="s">
        <v>528</v>
      </c>
      <c r="G66" s="126">
        <f>NPV($R$21,H63:R63)</f>
        <v>324825196.00753474</v>
      </c>
    </row>
    <row r="67" spans="2:37">
      <c r="B67" s="125" t="s">
        <v>529</v>
      </c>
      <c r="G67" s="126">
        <f ca="1">G66+G63</f>
        <v>65852234.509603202</v>
      </c>
    </row>
    <row r="68" spans="2:37">
      <c r="B68" s="125" t="s">
        <v>530</v>
      </c>
      <c r="G68" s="127">
        <f ca="1">IRR(G63:R63)</f>
        <v>0.10671790260661163</v>
      </c>
    </row>
    <row r="69" spans="2:37" ht="15" thickBot="1">
      <c r="B69" s="128" t="s">
        <v>531</v>
      </c>
      <c r="C69" s="129"/>
      <c r="D69" s="129"/>
      <c r="E69" s="129"/>
      <c r="F69" s="129"/>
      <c r="G69" s="130">
        <f ca="1">(G65/-G63)+1</f>
        <v>2.5717161314480244</v>
      </c>
    </row>
    <row r="71" spans="2:37">
      <c r="B71" s="102" t="s">
        <v>532</v>
      </c>
      <c r="G71" s="107">
        <f ca="1">G32</f>
        <v>181281073.04855207</v>
      </c>
    </row>
    <row r="72" spans="2:37">
      <c r="B72" s="102" t="s">
        <v>533</v>
      </c>
      <c r="H72" s="107">
        <f t="shared" ref="H72:AK72" si="43">IF(H35=$G$25,FV($G$30/12,H35*12,$G$33,$G$32),0)</f>
        <v>0</v>
      </c>
      <c r="I72" s="107">
        <f t="shared" si="43"/>
        <v>0</v>
      </c>
      <c r="J72" s="107">
        <f t="shared" si="43"/>
        <v>0</v>
      </c>
      <c r="K72" s="107">
        <f t="shared" si="43"/>
        <v>0</v>
      </c>
      <c r="L72" s="107">
        <f t="shared" si="43"/>
        <v>0</v>
      </c>
      <c r="M72" s="107">
        <f t="shared" si="43"/>
        <v>0</v>
      </c>
      <c r="N72" s="107">
        <f t="shared" si="43"/>
        <v>0</v>
      </c>
      <c r="O72" s="107">
        <f t="shared" si="43"/>
        <v>0</v>
      </c>
      <c r="P72" s="107">
        <f t="shared" si="43"/>
        <v>0</v>
      </c>
      <c r="Q72" s="107">
        <f t="shared" ca="1" si="43"/>
        <v>-147457767.35090703</v>
      </c>
      <c r="R72" s="107">
        <f t="shared" si="43"/>
        <v>0</v>
      </c>
      <c r="S72" s="107">
        <f t="shared" si="43"/>
        <v>0</v>
      </c>
      <c r="T72" s="107">
        <f t="shared" si="43"/>
        <v>0</v>
      </c>
      <c r="U72" s="107">
        <f t="shared" si="43"/>
        <v>0</v>
      </c>
      <c r="V72" s="107">
        <f t="shared" si="43"/>
        <v>0</v>
      </c>
      <c r="W72" s="107">
        <f t="shared" si="43"/>
        <v>0</v>
      </c>
      <c r="X72" s="107">
        <f t="shared" si="43"/>
        <v>0</v>
      </c>
      <c r="Y72" s="107">
        <f t="shared" si="43"/>
        <v>0</v>
      </c>
      <c r="Z72" s="107">
        <f t="shared" si="43"/>
        <v>0</v>
      </c>
      <c r="AA72" s="107">
        <f t="shared" si="43"/>
        <v>0</v>
      </c>
      <c r="AB72" s="107">
        <f t="shared" si="43"/>
        <v>0</v>
      </c>
      <c r="AC72" s="107">
        <f t="shared" si="43"/>
        <v>0</v>
      </c>
      <c r="AD72" s="107">
        <f t="shared" si="43"/>
        <v>0</v>
      </c>
      <c r="AE72" s="107">
        <f t="shared" si="43"/>
        <v>0</v>
      </c>
      <c r="AF72" s="107">
        <f t="shared" si="43"/>
        <v>0</v>
      </c>
      <c r="AG72" s="107">
        <f t="shared" si="43"/>
        <v>0</v>
      </c>
      <c r="AH72" s="107">
        <f t="shared" si="43"/>
        <v>0</v>
      </c>
      <c r="AI72" s="107">
        <f t="shared" si="43"/>
        <v>0</v>
      </c>
      <c r="AJ72" s="107">
        <f t="shared" si="43"/>
        <v>0</v>
      </c>
      <c r="AK72" s="107">
        <f t="shared" si="43"/>
        <v>0</v>
      </c>
    </row>
    <row r="73" spans="2:37">
      <c r="B73" s="102" t="s">
        <v>534</v>
      </c>
      <c r="H73" s="107">
        <f t="shared" ref="H73:AK73" ca="1" si="44">IF(H35&lt;=$G$25,$G$33*12,0)</f>
        <v>-11677871.982636703</v>
      </c>
      <c r="I73" s="107">
        <f t="shared" ca="1" si="44"/>
        <v>-11677871.982636703</v>
      </c>
      <c r="J73" s="107">
        <f t="shared" ca="1" si="44"/>
        <v>-11677871.982636703</v>
      </c>
      <c r="K73" s="107">
        <f t="shared" ca="1" si="44"/>
        <v>-11677871.982636703</v>
      </c>
      <c r="L73" s="107">
        <f t="shared" ca="1" si="44"/>
        <v>-11677871.982636703</v>
      </c>
      <c r="M73" s="107">
        <f t="shared" ca="1" si="44"/>
        <v>-11677871.982636703</v>
      </c>
      <c r="N73" s="107">
        <f t="shared" ca="1" si="44"/>
        <v>-11677871.982636703</v>
      </c>
      <c r="O73" s="107">
        <f t="shared" ca="1" si="44"/>
        <v>-11677871.982636703</v>
      </c>
      <c r="P73" s="107">
        <f t="shared" ca="1" si="44"/>
        <v>-11677871.982636703</v>
      </c>
      <c r="Q73" s="107">
        <f t="shared" ca="1" si="44"/>
        <v>-11677871.982636703</v>
      </c>
      <c r="R73" s="107">
        <f t="shared" si="44"/>
        <v>0</v>
      </c>
      <c r="S73" s="107">
        <f t="shared" si="44"/>
        <v>0</v>
      </c>
      <c r="T73" s="107">
        <f t="shared" si="44"/>
        <v>0</v>
      </c>
      <c r="U73" s="107">
        <f t="shared" si="44"/>
        <v>0</v>
      </c>
      <c r="V73" s="107">
        <f t="shared" si="44"/>
        <v>0</v>
      </c>
      <c r="W73" s="107">
        <f t="shared" si="44"/>
        <v>0</v>
      </c>
      <c r="X73" s="107">
        <f t="shared" si="44"/>
        <v>0</v>
      </c>
      <c r="Y73" s="107">
        <f t="shared" si="44"/>
        <v>0</v>
      </c>
      <c r="Z73" s="107">
        <f t="shared" si="44"/>
        <v>0</v>
      </c>
      <c r="AA73" s="107">
        <f t="shared" si="44"/>
        <v>0</v>
      </c>
      <c r="AB73" s="107">
        <f t="shared" si="44"/>
        <v>0</v>
      </c>
      <c r="AC73" s="107">
        <f t="shared" si="44"/>
        <v>0</v>
      </c>
      <c r="AD73" s="107">
        <f t="shared" si="44"/>
        <v>0</v>
      </c>
      <c r="AE73" s="107">
        <f t="shared" si="44"/>
        <v>0</v>
      </c>
      <c r="AF73" s="107">
        <f t="shared" si="44"/>
        <v>0</v>
      </c>
      <c r="AG73" s="107">
        <f t="shared" si="44"/>
        <v>0</v>
      </c>
      <c r="AH73" s="107">
        <f t="shared" si="44"/>
        <v>0</v>
      </c>
      <c r="AI73" s="107">
        <f t="shared" si="44"/>
        <v>0</v>
      </c>
      <c r="AJ73" s="107">
        <f t="shared" si="44"/>
        <v>0</v>
      </c>
      <c r="AK73" s="107">
        <f t="shared" si="44"/>
        <v>0</v>
      </c>
    </row>
    <row r="75" spans="2:37">
      <c r="B75" s="102" t="s">
        <v>535</v>
      </c>
      <c r="G75" s="107">
        <f t="shared" ref="G75:AK75" ca="1" si="45">IF(G35&lt;=$G$25,SUM(G63,G71:G73),0)</f>
        <v>-77691888.449379474</v>
      </c>
      <c r="H75" s="107">
        <f t="shared" ca="1" si="45"/>
        <v>-47913448.7413847</v>
      </c>
      <c r="I75" s="107">
        <f t="shared" ca="1" si="45"/>
        <v>7911913.7854972985</v>
      </c>
      <c r="J75" s="107">
        <f t="shared" ca="1" si="45"/>
        <v>8551171.8140932377</v>
      </c>
      <c r="K75" s="107">
        <f t="shared" ca="1" si="45"/>
        <v>9210638.8726580981</v>
      </c>
      <c r="L75" s="107">
        <f t="shared" ca="1" si="45"/>
        <v>9890941.8578731511</v>
      </c>
      <c r="M75" s="107">
        <f t="shared" ca="1" si="45"/>
        <v>10592726.885835791</v>
      </c>
      <c r="N75" s="107">
        <f t="shared" ca="1" si="45"/>
        <v>11316659.876892256</v>
      </c>
      <c r="O75" s="107">
        <f t="shared" ca="1" si="45"/>
        <v>12063427.158180462</v>
      </c>
      <c r="P75" s="107">
        <f t="shared" ca="1" si="45"/>
        <v>12833736.084417352</v>
      </c>
      <c r="Q75" s="107">
        <f t="shared" ca="1" si="45"/>
        <v>341184898.65376616</v>
      </c>
      <c r="R75" s="107">
        <f t="shared" si="45"/>
        <v>0</v>
      </c>
      <c r="S75" s="107">
        <f t="shared" si="45"/>
        <v>0</v>
      </c>
      <c r="T75" s="107">
        <f t="shared" si="45"/>
        <v>0</v>
      </c>
      <c r="U75" s="107">
        <f t="shared" si="45"/>
        <v>0</v>
      </c>
      <c r="V75" s="107">
        <f t="shared" si="45"/>
        <v>0</v>
      </c>
      <c r="W75" s="107">
        <f t="shared" si="45"/>
        <v>0</v>
      </c>
      <c r="X75" s="107">
        <f t="shared" si="45"/>
        <v>0</v>
      </c>
      <c r="Y75" s="107">
        <f t="shared" si="45"/>
        <v>0</v>
      </c>
      <c r="Z75" s="107">
        <f t="shared" si="45"/>
        <v>0</v>
      </c>
      <c r="AA75" s="107">
        <f t="shared" si="45"/>
        <v>0</v>
      </c>
      <c r="AB75" s="107">
        <f t="shared" si="45"/>
        <v>0</v>
      </c>
      <c r="AC75" s="107">
        <f t="shared" si="45"/>
        <v>0</v>
      </c>
      <c r="AD75" s="107">
        <f t="shared" si="45"/>
        <v>0</v>
      </c>
      <c r="AE75" s="107">
        <f t="shared" si="45"/>
        <v>0</v>
      </c>
      <c r="AF75" s="107">
        <f t="shared" si="45"/>
        <v>0</v>
      </c>
      <c r="AG75" s="107">
        <f t="shared" si="45"/>
        <v>0</v>
      </c>
      <c r="AH75" s="107">
        <f t="shared" si="45"/>
        <v>0</v>
      </c>
      <c r="AI75" s="107">
        <f t="shared" si="45"/>
        <v>0</v>
      </c>
      <c r="AJ75" s="107">
        <f t="shared" si="45"/>
        <v>0</v>
      </c>
      <c r="AK75" s="107">
        <f t="shared" si="45"/>
        <v>0</v>
      </c>
    </row>
    <row r="76" spans="2:37" ht="15" thickBot="1"/>
    <row r="77" spans="2:37">
      <c r="B77" s="122" t="s">
        <v>527</v>
      </c>
      <c r="C77" s="123"/>
      <c r="D77" s="123"/>
      <c r="E77" s="123"/>
      <c r="F77" s="123"/>
      <c r="G77" s="124">
        <f ca="1">SUM(G75:R75)</f>
        <v>297950777.79844964</v>
      </c>
    </row>
    <row r="78" spans="2:37">
      <c r="B78" s="125" t="s">
        <v>528</v>
      </c>
      <c r="G78" s="126">
        <f ca="1">NPV($R$21,H75:R75)</f>
        <v>166959343.62946692</v>
      </c>
    </row>
    <row r="79" spans="2:37">
      <c r="B79" s="125" t="s">
        <v>529</v>
      </c>
      <c r="G79" s="126">
        <f ca="1">G78+G75</f>
        <v>89267455.180087447</v>
      </c>
    </row>
    <row r="80" spans="2:37">
      <c r="B80" s="125" t="s">
        <v>536</v>
      </c>
      <c r="G80" s="131">
        <f ca="1">IRR(G75:R75)</f>
        <v>0.15374548006520605</v>
      </c>
    </row>
    <row r="81" spans="1:37" ht="15" thickBot="1">
      <c r="B81" s="128" t="s">
        <v>531</v>
      </c>
      <c r="C81" s="129"/>
      <c r="D81" s="129"/>
      <c r="E81" s="129"/>
      <c r="F81" s="129"/>
      <c r="G81" s="130">
        <f ca="1">(G77/-G75)+1</f>
        <v>4.8350307058449342</v>
      </c>
    </row>
    <row r="83" spans="1:37" s="104" customFormat="1">
      <c r="A83" s="132" t="s">
        <v>472</v>
      </c>
      <c r="B83" s="245" t="s">
        <v>585</v>
      </c>
      <c r="C83" s="245"/>
      <c r="D83" s="245"/>
      <c r="E83" s="245"/>
      <c r="F83" s="245"/>
      <c r="G83" s="245"/>
      <c r="H83" s="247">
        <f t="shared" ref="H83:AK83" si="46">H35</f>
        <v>1</v>
      </c>
      <c r="I83" s="247">
        <f t="shared" si="46"/>
        <v>2</v>
      </c>
      <c r="J83" s="247">
        <f t="shared" si="46"/>
        <v>3</v>
      </c>
      <c r="K83" s="247">
        <f t="shared" si="46"/>
        <v>4</v>
      </c>
      <c r="L83" s="247">
        <f t="shared" si="46"/>
        <v>5</v>
      </c>
      <c r="M83" s="247">
        <f t="shared" si="46"/>
        <v>6</v>
      </c>
      <c r="N83" s="247">
        <f t="shared" si="46"/>
        <v>7</v>
      </c>
      <c r="O83" s="247">
        <f t="shared" si="46"/>
        <v>8</v>
      </c>
      <c r="P83" s="247">
        <f t="shared" si="46"/>
        <v>9</v>
      </c>
      <c r="Q83" s="247">
        <f t="shared" si="46"/>
        <v>10</v>
      </c>
      <c r="R83" s="247">
        <f t="shared" si="46"/>
        <v>11</v>
      </c>
      <c r="S83" s="119">
        <f t="shared" si="46"/>
        <v>12</v>
      </c>
      <c r="T83" s="119">
        <f t="shared" si="46"/>
        <v>13</v>
      </c>
      <c r="U83" s="119">
        <f t="shared" si="46"/>
        <v>14</v>
      </c>
      <c r="V83" s="119">
        <f t="shared" si="46"/>
        <v>15</v>
      </c>
      <c r="W83" s="119">
        <f t="shared" si="46"/>
        <v>16</v>
      </c>
      <c r="X83" s="119">
        <f t="shared" si="46"/>
        <v>17</v>
      </c>
      <c r="Y83" s="119">
        <f t="shared" si="46"/>
        <v>18</v>
      </c>
      <c r="Z83" s="119">
        <f t="shared" si="46"/>
        <v>19</v>
      </c>
      <c r="AA83" s="119">
        <f t="shared" si="46"/>
        <v>20</v>
      </c>
      <c r="AB83" s="119">
        <f t="shared" si="46"/>
        <v>21</v>
      </c>
      <c r="AC83" s="119">
        <f t="shared" si="46"/>
        <v>22</v>
      </c>
      <c r="AD83" s="119">
        <f t="shared" si="46"/>
        <v>23</v>
      </c>
      <c r="AE83" s="119">
        <f t="shared" si="46"/>
        <v>24</v>
      </c>
      <c r="AF83" s="119">
        <f t="shared" si="46"/>
        <v>25</v>
      </c>
      <c r="AG83" s="119">
        <f t="shared" si="46"/>
        <v>26</v>
      </c>
      <c r="AH83" s="119">
        <f t="shared" si="46"/>
        <v>27</v>
      </c>
      <c r="AI83" s="119">
        <f t="shared" si="46"/>
        <v>28</v>
      </c>
      <c r="AJ83" s="119">
        <f t="shared" si="46"/>
        <v>29</v>
      </c>
      <c r="AK83" s="119">
        <f t="shared" si="46"/>
        <v>30</v>
      </c>
    </row>
    <row r="84" spans="1:37">
      <c r="B84" s="102" t="s">
        <v>586</v>
      </c>
      <c r="H84" s="108">
        <f t="shared" ref="H84:AK84" si="47">H40/$G$12</f>
        <v>40.630000000000003</v>
      </c>
      <c r="I84" s="108">
        <f t="shared" si="47"/>
        <v>41.8489</v>
      </c>
      <c r="J84" s="108">
        <f t="shared" si="47"/>
        <v>43.104366999999996</v>
      </c>
      <c r="K84" s="108">
        <f t="shared" si="47"/>
        <v>44.39749801</v>
      </c>
      <c r="L84" s="108">
        <f t="shared" si="47"/>
        <v>45.729422950299998</v>
      </c>
      <c r="M84" s="108">
        <f t="shared" si="47"/>
        <v>47.101305638808995</v>
      </c>
      <c r="N84" s="108">
        <f t="shared" si="47"/>
        <v>48.514344807973266</v>
      </c>
      <c r="O84" s="108">
        <f t="shared" si="47"/>
        <v>49.96977515221247</v>
      </c>
      <c r="P84" s="108">
        <f t="shared" si="47"/>
        <v>51.468868406778839</v>
      </c>
      <c r="Q84" s="108">
        <f t="shared" si="47"/>
        <v>53.012934458982194</v>
      </c>
      <c r="R84" s="108">
        <f t="shared" si="47"/>
        <v>54.603322492751673</v>
      </c>
      <c r="S84" s="108">
        <f t="shared" si="47"/>
        <v>56.241422167534218</v>
      </c>
      <c r="T84" s="108">
        <f t="shared" si="47"/>
        <v>57.928664832560237</v>
      </c>
      <c r="U84" s="108">
        <f t="shared" si="47"/>
        <v>59.666524777537042</v>
      </c>
      <c r="V84" s="108">
        <f t="shared" si="47"/>
        <v>61.456520520863158</v>
      </c>
      <c r="W84" s="108">
        <f t="shared" si="47"/>
        <v>63.300216136489063</v>
      </c>
      <c r="X84" s="108">
        <f t="shared" si="47"/>
        <v>65.199222620583726</v>
      </c>
      <c r="Y84" s="108">
        <f t="shared" si="47"/>
        <v>67.155199299201229</v>
      </c>
      <c r="Z84" s="108">
        <f t="shared" si="47"/>
        <v>69.169855278177266</v>
      </c>
      <c r="AA84" s="108">
        <f t="shared" si="47"/>
        <v>71.244950936522585</v>
      </c>
      <c r="AB84" s="108">
        <f t="shared" si="47"/>
        <v>73.382299464618256</v>
      </c>
      <c r="AC84" s="108">
        <f t="shared" si="47"/>
        <v>75.583768448556796</v>
      </c>
      <c r="AD84" s="108">
        <f t="shared" si="47"/>
        <v>77.851281502013506</v>
      </c>
      <c r="AE84" s="108">
        <f t="shared" si="47"/>
        <v>80.186819947073928</v>
      </c>
      <c r="AF84" s="108">
        <f t="shared" si="47"/>
        <v>82.592424545486125</v>
      </c>
      <c r="AG84" s="108">
        <f t="shared" si="47"/>
        <v>85.07019728185071</v>
      </c>
      <c r="AH84" s="108">
        <f t="shared" si="47"/>
        <v>87.622303200306249</v>
      </c>
      <c r="AI84" s="108">
        <f t="shared" si="47"/>
        <v>90.250972296315425</v>
      </c>
      <c r="AJ84" s="108">
        <f t="shared" si="47"/>
        <v>92.958501465204876</v>
      </c>
      <c r="AK84" s="108">
        <f t="shared" si="47"/>
        <v>95.747256509161019</v>
      </c>
    </row>
    <row r="85" spans="1:37">
      <c r="B85" s="102" t="s">
        <v>573</v>
      </c>
      <c r="H85" s="108">
        <f t="shared" ref="H85:AK85" si="48">H42/$G$12</f>
        <v>0</v>
      </c>
      <c r="I85" s="108">
        <f t="shared" si="48"/>
        <v>0</v>
      </c>
      <c r="J85" s="108">
        <f t="shared" si="48"/>
        <v>0</v>
      </c>
      <c r="K85" s="108">
        <f t="shared" si="48"/>
        <v>0</v>
      </c>
      <c r="L85" s="108">
        <f t="shared" si="48"/>
        <v>0</v>
      </c>
      <c r="M85" s="108">
        <f t="shared" si="48"/>
        <v>0</v>
      </c>
      <c r="N85" s="108">
        <f t="shared" si="48"/>
        <v>0</v>
      </c>
      <c r="O85" s="108">
        <f t="shared" si="48"/>
        <v>0</v>
      </c>
      <c r="P85" s="108">
        <f t="shared" si="48"/>
        <v>0</v>
      </c>
      <c r="Q85" s="108">
        <f t="shared" si="48"/>
        <v>0</v>
      </c>
      <c r="R85" s="108">
        <f t="shared" si="48"/>
        <v>0</v>
      </c>
      <c r="S85" s="108">
        <f t="shared" si="48"/>
        <v>0</v>
      </c>
      <c r="T85" s="108">
        <f t="shared" si="48"/>
        <v>0</v>
      </c>
      <c r="U85" s="108">
        <f t="shared" si="48"/>
        <v>0</v>
      </c>
      <c r="V85" s="108">
        <f t="shared" si="48"/>
        <v>0</v>
      </c>
      <c r="W85" s="108">
        <f t="shared" si="48"/>
        <v>0</v>
      </c>
      <c r="X85" s="108">
        <f t="shared" si="48"/>
        <v>0</v>
      </c>
      <c r="Y85" s="108">
        <f t="shared" si="48"/>
        <v>0</v>
      </c>
      <c r="Z85" s="108">
        <f t="shared" si="48"/>
        <v>0</v>
      </c>
      <c r="AA85" s="108">
        <f t="shared" si="48"/>
        <v>0</v>
      </c>
      <c r="AB85" s="108">
        <f t="shared" si="48"/>
        <v>0</v>
      </c>
      <c r="AC85" s="108">
        <f t="shared" si="48"/>
        <v>0</v>
      </c>
      <c r="AD85" s="108">
        <f t="shared" si="48"/>
        <v>0</v>
      </c>
      <c r="AE85" s="108">
        <f t="shared" si="48"/>
        <v>0</v>
      </c>
      <c r="AF85" s="108">
        <f t="shared" si="48"/>
        <v>0</v>
      </c>
      <c r="AG85" s="108">
        <f t="shared" si="48"/>
        <v>0</v>
      </c>
      <c r="AH85" s="108">
        <f t="shared" si="48"/>
        <v>0</v>
      </c>
      <c r="AI85" s="108">
        <f t="shared" si="48"/>
        <v>0</v>
      </c>
      <c r="AJ85" s="108">
        <f t="shared" si="48"/>
        <v>0</v>
      </c>
      <c r="AK85" s="108">
        <f t="shared" si="48"/>
        <v>0</v>
      </c>
    </row>
    <row r="86" spans="1:37">
      <c r="B86" s="102" t="s">
        <v>16</v>
      </c>
      <c r="H86" s="108">
        <f>H84-H85</f>
        <v>40.630000000000003</v>
      </c>
      <c r="I86" s="108">
        <f t="shared" ref="I86:AK86" si="49">I84-I85</f>
        <v>41.8489</v>
      </c>
      <c r="J86" s="108">
        <f t="shared" si="49"/>
        <v>43.104366999999996</v>
      </c>
      <c r="K86" s="108">
        <f t="shared" si="49"/>
        <v>44.39749801</v>
      </c>
      <c r="L86" s="108">
        <f t="shared" si="49"/>
        <v>45.729422950299998</v>
      </c>
      <c r="M86" s="108">
        <f t="shared" si="49"/>
        <v>47.101305638808995</v>
      </c>
      <c r="N86" s="108">
        <f t="shared" si="49"/>
        <v>48.514344807973266</v>
      </c>
      <c r="O86" s="108">
        <f t="shared" si="49"/>
        <v>49.96977515221247</v>
      </c>
      <c r="P86" s="108">
        <f t="shared" si="49"/>
        <v>51.468868406778839</v>
      </c>
      <c r="Q86" s="108">
        <f t="shared" si="49"/>
        <v>53.012934458982194</v>
      </c>
      <c r="R86" s="108">
        <f t="shared" si="49"/>
        <v>54.603322492751673</v>
      </c>
      <c r="S86" s="108">
        <f t="shared" si="49"/>
        <v>56.241422167534218</v>
      </c>
      <c r="T86" s="108">
        <f t="shared" si="49"/>
        <v>57.928664832560237</v>
      </c>
      <c r="U86" s="108">
        <f t="shared" si="49"/>
        <v>59.666524777537042</v>
      </c>
      <c r="V86" s="108">
        <f t="shared" si="49"/>
        <v>61.456520520863158</v>
      </c>
      <c r="W86" s="108">
        <f t="shared" si="49"/>
        <v>63.300216136489063</v>
      </c>
      <c r="X86" s="108">
        <f t="shared" si="49"/>
        <v>65.199222620583726</v>
      </c>
      <c r="Y86" s="108">
        <f t="shared" si="49"/>
        <v>67.155199299201229</v>
      </c>
      <c r="Z86" s="108">
        <f t="shared" si="49"/>
        <v>69.169855278177266</v>
      </c>
      <c r="AA86" s="108">
        <f t="shared" si="49"/>
        <v>71.244950936522585</v>
      </c>
      <c r="AB86" s="108">
        <f t="shared" si="49"/>
        <v>73.382299464618256</v>
      </c>
      <c r="AC86" s="108">
        <f t="shared" si="49"/>
        <v>75.583768448556796</v>
      </c>
      <c r="AD86" s="108">
        <f t="shared" si="49"/>
        <v>77.851281502013506</v>
      </c>
      <c r="AE86" s="108">
        <f t="shared" si="49"/>
        <v>80.186819947073928</v>
      </c>
      <c r="AF86" s="108">
        <f t="shared" si="49"/>
        <v>82.592424545486125</v>
      </c>
      <c r="AG86" s="108">
        <f t="shared" si="49"/>
        <v>85.07019728185071</v>
      </c>
      <c r="AH86" s="108">
        <f t="shared" si="49"/>
        <v>87.622303200306249</v>
      </c>
      <c r="AI86" s="108">
        <f t="shared" si="49"/>
        <v>90.250972296315425</v>
      </c>
      <c r="AJ86" s="108">
        <f t="shared" si="49"/>
        <v>92.958501465204876</v>
      </c>
      <c r="AK86" s="108">
        <f t="shared" si="49"/>
        <v>95.747256509161019</v>
      </c>
    </row>
    <row r="87" spans="1:37">
      <c r="B87" s="102" t="s">
        <v>587</v>
      </c>
      <c r="H87" s="120">
        <f>$G$21</f>
        <v>0.06</v>
      </c>
      <c r="I87" s="120">
        <f t="shared" ref="I87:AK87" si="50">$G$21</f>
        <v>0.06</v>
      </c>
      <c r="J87" s="120">
        <f t="shared" si="50"/>
        <v>0.06</v>
      </c>
      <c r="K87" s="120">
        <f t="shared" si="50"/>
        <v>0.06</v>
      </c>
      <c r="L87" s="120">
        <f t="shared" si="50"/>
        <v>0.06</v>
      </c>
      <c r="M87" s="120">
        <f t="shared" si="50"/>
        <v>0.06</v>
      </c>
      <c r="N87" s="120">
        <f t="shared" si="50"/>
        <v>0.06</v>
      </c>
      <c r="O87" s="120">
        <f t="shared" si="50"/>
        <v>0.06</v>
      </c>
      <c r="P87" s="120">
        <f t="shared" si="50"/>
        <v>0.06</v>
      </c>
      <c r="Q87" s="120">
        <f t="shared" si="50"/>
        <v>0.06</v>
      </c>
      <c r="R87" s="120">
        <f t="shared" si="50"/>
        <v>0.06</v>
      </c>
      <c r="S87" s="120">
        <f t="shared" si="50"/>
        <v>0.06</v>
      </c>
      <c r="T87" s="120">
        <f t="shared" si="50"/>
        <v>0.06</v>
      </c>
      <c r="U87" s="120">
        <f t="shared" si="50"/>
        <v>0.06</v>
      </c>
      <c r="V87" s="120">
        <f t="shared" si="50"/>
        <v>0.06</v>
      </c>
      <c r="W87" s="120">
        <f t="shared" si="50"/>
        <v>0.06</v>
      </c>
      <c r="X87" s="120">
        <f t="shared" si="50"/>
        <v>0.06</v>
      </c>
      <c r="Y87" s="120">
        <f t="shared" si="50"/>
        <v>0.06</v>
      </c>
      <c r="Z87" s="120">
        <f t="shared" si="50"/>
        <v>0.06</v>
      </c>
      <c r="AA87" s="120">
        <f t="shared" si="50"/>
        <v>0.06</v>
      </c>
      <c r="AB87" s="120">
        <f t="shared" si="50"/>
        <v>0.06</v>
      </c>
      <c r="AC87" s="120">
        <f t="shared" si="50"/>
        <v>0.06</v>
      </c>
      <c r="AD87" s="120">
        <f t="shared" si="50"/>
        <v>0.06</v>
      </c>
      <c r="AE87" s="120">
        <f t="shared" si="50"/>
        <v>0.06</v>
      </c>
      <c r="AF87" s="120">
        <f t="shared" si="50"/>
        <v>0.06</v>
      </c>
      <c r="AG87" s="120">
        <f t="shared" si="50"/>
        <v>0.06</v>
      </c>
      <c r="AH87" s="120">
        <f t="shared" si="50"/>
        <v>0.06</v>
      </c>
      <c r="AI87" s="120">
        <f t="shared" si="50"/>
        <v>0.06</v>
      </c>
      <c r="AJ87" s="120">
        <f t="shared" si="50"/>
        <v>0.06</v>
      </c>
      <c r="AK87" s="120">
        <f t="shared" si="50"/>
        <v>0.06</v>
      </c>
    </row>
    <row r="88" spans="1:37">
      <c r="B88" s="102" t="s">
        <v>556</v>
      </c>
      <c r="H88" s="108">
        <f>H86*H87</f>
        <v>2.4378000000000002</v>
      </c>
      <c r="I88" s="108">
        <f t="shared" ref="I88:AK88" si="51">I86*I87</f>
        <v>2.5109339999999998</v>
      </c>
      <c r="J88" s="108">
        <f t="shared" si="51"/>
        <v>2.5862620199999995</v>
      </c>
      <c r="K88" s="108">
        <f t="shared" si="51"/>
        <v>2.6638498805999999</v>
      </c>
      <c r="L88" s="108">
        <f t="shared" si="51"/>
        <v>2.7437653770179997</v>
      </c>
      <c r="M88" s="108">
        <f t="shared" si="51"/>
        <v>2.8260783383285397</v>
      </c>
      <c r="N88" s="108">
        <f t="shared" si="51"/>
        <v>2.9108606884783961</v>
      </c>
      <c r="O88" s="108">
        <f t="shared" si="51"/>
        <v>2.998186509132748</v>
      </c>
      <c r="P88" s="108">
        <f t="shared" si="51"/>
        <v>3.0881321044067302</v>
      </c>
      <c r="Q88" s="108">
        <f t="shared" si="51"/>
        <v>3.1807760675389316</v>
      </c>
      <c r="R88" s="108">
        <f t="shared" si="51"/>
        <v>3.2761993495651001</v>
      </c>
      <c r="S88" s="108">
        <f t="shared" si="51"/>
        <v>3.3744853300520528</v>
      </c>
      <c r="T88" s="108">
        <f t="shared" si="51"/>
        <v>3.4757198899536141</v>
      </c>
      <c r="U88" s="108">
        <f t="shared" si="51"/>
        <v>3.5799914866522222</v>
      </c>
      <c r="V88" s="108">
        <f t="shared" si="51"/>
        <v>3.6873912312517891</v>
      </c>
      <c r="W88" s="108">
        <f t="shared" si="51"/>
        <v>3.7980129681893438</v>
      </c>
      <c r="X88" s="108">
        <f t="shared" si="51"/>
        <v>3.9119533572350234</v>
      </c>
      <c r="Y88" s="108">
        <f t="shared" si="51"/>
        <v>4.029311957952074</v>
      </c>
      <c r="Z88" s="108">
        <f t="shared" si="51"/>
        <v>4.1501913166906359</v>
      </c>
      <c r="AA88" s="108">
        <f t="shared" si="51"/>
        <v>4.2746970561913553</v>
      </c>
      <c r="AB88" s="108">
        <f t="shared" si="51"/>
        <v>4.4029379678770955</v>
      </c>
      <c r="AC88" s="108">
        <f t="shared" si="51"/>
        <v>4.5350261069134072</v>
      </c>
      <c r="AD88" s="108">
        <f t="shared" si="51"/>
        <v>4.6710768901208102</v>
      </c>
      <c r="AE88" s="108">
        <f t="shared" si="51"/>
        <v>4.8112091968244357</v>
      </c>
      <c r="AF88" s="108">
        <f t="shared" si="51"/>
        <v>4.9555454727291677</v>
      </c>
      <c r="AG88" s="108">
        <f t="shared" si="51"/>
        <v>5.1042118369110421</v>
      </c>
      <c r="AH88" s="108">
        <f t="shared" si="51"/>
        <v>5.2573381920183744</v>
      </c>
      <c r="AI88" s="108">
        <f t="shared" si="51"/>
        <v>5.415058337778925</v>
      </c>
      <c r="AJ88" s="108">
        <f t="shared" si="51"/>
        <v>5.5775100879122927</v>
      </c>
      <c r="AK88" s="108">
        <f t="shared" si="51"/>
        <v>5.7448353905496612</v>
      </c>
    </row>
    <row r="90" spans="1:37">
      <c r="A90" s="102" t="s">
        <v>472</v>
      </c>
      <c r="B90" s="245" t="s">
        <v>588</v>
      </c>
      <c r="C90" s="245"/>
      <c r="D90" s="245"/>
      <c r="E90" s="245"/>
      <c r="F90" s="245"/>
      <c r="G90" s="245"/>
      <c r="H90" s="245"/>
      <c r="I90" s="245"/>
      <c r="J90" s="245"/>
      <c r="K90" s="245"/>
      <c r="L90" s="245"/>
      <c r="M90" s="245"/>
      <c r="N90" s="245"/>
      <c r="O90" s="245"/>
      <c r="P90" s="246"/>
      <c r="Q90" s="245"/>
      <c r="R90" s="245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</row>
    <row r="91" spans="1:37">
      <c r="F91" s="767" t="s">
        <v>589</v>
      </c>
      <c r="G91" s="767"/>
      <c r="H91" s="767"/>
      <c r="I91" s="767"/>
      <c r="J91" s="767"/>
    </row>
    <row r="92" spans="1:37">
      <c r="E92" s="133">
        <f ca="1">G80</f>
        <v>0.15374548006520605</v>
      </c>
      <c r="F92" s="668">
        <v>3</v>
      </c>
      <c r="G92" s="668">
        <v>4</v>
      </c>
      <c r="H92" s="668">
        <v>5</v>
      </c>
      <c r="I92" s="668">
        <v>6</v>
      </c>
      <c r="J92" s="668">
        <v>7</v>
      </c>
    </row>
    <row r="93" spans="1:37">
      <c r="C93" s="768" t="s">
        <v>390</v>
      </c>
      <c r="D93" s="768"/>
      <c r="E93" s="669">
        <v>0.05</v>
      </c>
      <c r="F93" s="135">
        <f t="dataTable" ref="F93:J97" dt2D="1" dtr="1" r1="G25" r2="G23" ca="1"/>
        <v>0.36607686761802727</v>
      </c>
      <c r="G93" s="136">
        <v>0.2945406880420629</v>
      </c>
      <c r="H93" s="136">
        <v>0.25464934910000347</v>
      </c>
      <c r="I93" s="136">
        <v>0.22913285554816598</v>
      </c>
      <c r="J93" s="137">
        <v>0.21135350189398849</v>
      </c>
    </row>
    <row r="94" spans="1:37">
      <c r="C94" s="768"/>
      <c r="D94" s="768"/>
      <c r="E94" s="669">
        <v>5.2499999999999998E-2</v>
      </c>
      <c r="F94" s="138">
        <v>0.32709454425121276</v>
      </c>
      <c r="G94" s="135">
        <v>0.26887896144750023</v>
      </c>
      <c r="H94" s="136">
        <v>0.23606604506922491</v>
      </c>
      <c r="I94" s="137">
        <v>0.21489105478788617</v>
      </c>
      <c r="J94" s="139">
        <v>0.20002100834487324</v>
      </c>
    </row>
    <row r="95" spans="1:37">
      <c r="C95" s="768"/>
      <c r="D95" s="768"/>
      <c r="E95" s="669">
        <v>5.5E-2</v>
      </c>
      <c r="F95" s="138">
        <v>0.28972780449209745</v>
      </c>
      <c r="G95" s="138">
        <v>0.24418603133098804</v>
      </c>
      <c r="H95" s="140">
        <v>0.21816765785757375</v>
      </c>
      <c r="I95" s="139">
        <v>0.20117955302056734</v>
      </c>
      <c r="J95" s="139">
        <v>0.18912198337416086</v>
      </c>
      <c r="K95" s="118"/>
    </row>
    <row r="96" spans="1:37">
      <c r="C96" s="768"/>
      <c r="D96" s="768"/>
      <c r="E96" s="669">
        <v>5.7500000000000002E-2</v>
      </c>
      <c r="F96" s="138">
        <v>0.25377958674008982</v>
      </c>
      <c r="G96" s="141">
        <v>0.22034505923423886</v>
      </c>
      <c r="H96" s="142">
        <v>0.20087440586929883</v>
      </c>
      <c r="I96" s="143">
        <v>0.18793915918193815</v>
      </c>
      <c r="J96" s="139">
        <v>0.17861001686823852</v>
      </c>
    </row>
    <row r="97" spans="3:10">
      <c r="C97" s="768"/>
      <c r="D97" s="768"/>
      <c r="E97" s="669">
        <v>0.06</v>
      </c>
      <c r="F97" s="141">
        <v>0.21907738549811406</v>
      </c>
      <c r="G97" s="142">
        <v>0.19725341774908878</v>
      </c>
      <c r="H97" s="142">
        <v>0.1841162810754986</v>
      </c>
      <c r="I97" s="142">
        <v>0.17511805477729481</v>
      </c>
      <c r="J97" s="143">
        <v>0.16844457679695313</v>
      </c>
    </row>
  </sheetData>
  <mergeCells count="2">
    <mergeCell ref="F91:J91"/>
    <mergeCell ref="C93:D97"/>
  </mergeCells>
  <conditionalFormatting sqref="F93:J9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scale="48" orientation="portrait" r:id="rId1"/>
  <headerFooter>
    <oddHeader xml:space="preserve">&amp;L2019 ULI Hines Student Competition&amp;R2019-331 &amp;A 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2B34F-75E4-4759-A544-CD06F77B3EEC}">
  <sheetPr>
    <tabColor rgb="FFFFC000"/>
  </sheetPr>
  <dimension ref="A2:AK98"/>
  <sheetViews>
    <sheetView showGridLines="0" view="pageBreakPreview" zoomScale="80" zoomScaleNormal="100" zoomScaleSheetLayoutView="80" workbookViewId="0"/>
  </sheetViews>
  <sheetFormatPr defaultRowHeight="14.4"/>
  <cols>
    <col min="1" max="4" width="1.6640625" style="102" customWidth="1"/>
    <col min="5" max="5" width="8.88671875" style="102"/>
    <col min="6" max="6" width="8.88671875" style="102" customWidth="1"/>
    <col min="7" max="7" width="16.33203125" style="102" customWidth="1"/>
    <col min="8" max="8" width="12.5546875" style="102" bestFit="1" customWidth="1"/>
    <col min="9" max="9" width="11.5546875" style="102" bestFit="1" customWidth="1"/>
    <col min="10" max="10" width="13.6640625" style="102" bestFit="1" customWidth="1"/>
    <col min="11" max="12" width="12.5546875" style="102" bestFit="1" customWidth="1"/>
    <col min="13" max="14" width="11.88671875" style="102" bestFit="1" customWidth="1"/>
    <col min="15" max="15" width="12.109375" style="102" bestFit="1" customWidth="1"/>
    <col min="16" max="16" width="13" style="164" customWidth="1"/>
    <col min="17" max="17" width="12.44140625" style="102" bestFit="1" customWidth="1"/>
    <col min="18" max="18" width="13.109375" style="102" bestFit="1" customWidth="1"/>
    <col min="19" max="21" width="8.88671875" style="102"/>
    <col min="22" max="22" width="14.109375" style="102" bestFit="1" customWidth="1"/>
    <col min="23" max="16384" width="8.88671875" style="102"/>
  </cols>
  <sheetData>
    <row r="2" spans="1:19">
      <c r="P2" s="497"/>
    </row>
    <row r="3" spans="1:19">
      <c r="P3" s="497"/>
    </row>
    <row r="4" spans="1:19">
      <c r="P4" s="497"/>
    </row>
    <row r="5" spans="1:19">
      <c r="P5" s="497"/>
    </row>
    <row r="6" spans="1:19">
      <c r="P6" s="497"/>
    </row>
    <row r="7" spans="1:19">
      <c r="P7" s="497"/>
    </row>
    <row r="8" spans="1:19">
      <c r="B8" s="410" t="s">
        <v>762</v>
      </c>
      <c r="P8" s="387"/>
    </row>
    <row r="9" spans="1:19" ht="15.6">
      <c r="B9" s="411" t="s">
        <v>763</v>
      </c>
      <c r="P9" s="387"/>
    </row>
    <row r="11" spans="1:19">
      <c r="A11" s="102" t="s">
        <v>472</v>
      </c>
      <c r="B11" s="245" t="s">
        <v>473</v>
      </c>
      <c r="C11" s="245"/>
      <c r="D11" s="245"/>
      <c r="E11" s="245"/>
      <c r="F11" s="245"/>
      <c r="G11" s="245"/>
      <c r="H11" s="245"/>
      <c r="I11" s="105"/>
      <c r="J11" s="245" t="s">
        <v>449</v>
      </c>
      <c r="K11" s="245"/>
      <c r="L11" s="245"/>
      <c r="M11" s="155"/>
      <c r="N11" s="245" t="s">
        <v>616</v>
      </c>
      <c r="O11" s="245"/>
      <c r="P11" s="245"/>
      <c r="Q11" s="245"/>
      <c r="R11" s="245"/>
    </row>
    <row r="12" spans="1:19">
      <c r="B12" s="102" t="s">
        <v>557</v>
      </c>
      <c r="G12" s="327">
        <f>'Area Matrix'!D46</f>
        <v>137725</v>
      </c>
      <c r="J12" s="102" t="s">
        <v>591</v>
      </c>
      <c r="L12" s="147">
        <f ca="1">SUM('Area Matrix'!D61,'Area Matrix'!H61,'Area Matrix'!L61,'Area Matrix'!P61,'Area Matrix'!T61)</f>
        <v>48964098.555394463</v>
      </c>
      <c r="M12" s="157"/>
      <c r="N12" s="102" t="s">
        <v>609</v>
      </c>
      <c r="P12" s="156"/>
      <c r="Q12" s="164"/>
      <c r="R12" s="509">
        <f>H45/H39</f>
        <v>130</v>
      </c>
    </row>
    <row r="13" spans="1:19">
      <c r="J13" s="109" t="s">
        <v>507</v>
      </c>
      <c r="L13" s="147">
        <f ca="1">L12*G26</f>
        <v>0</v>
      </c>
      <c r="M13" s="157"/>
      <c r="N13" s="159" t="s">
        <v>607</v>
      </c>
      <c r="P13" s="156"/>
      <c r="Q13" s="164"/>
      <c r="R13" s="670">
        <v>27.384184279748244</v>
      </c>
      <c r="S13" s="110"/>
    </row>
    <row r="14" spans="1:19">
      <c r="B14" s="245" t="s">
        <v>606</v>
      </c>
      <c r="C14" s="245"/>
      <c r="D14" s="245"/>
      <c r="E14" s="245"/>
      <c r="F14" s="245"/>
      <c r="G14" s="245"/>
      <c r="H14" s="245"/>
      <c r="I14" s="105"/>
      <c r="J14" s="114" t="s">
        <v>453</v>
      </c>
      <c r="K14" s="111"/>
      <c r="L14" s="112">
        <f ca="1">SUM(L12:L13)</f>
        <v>48964098.555394463</v>
      </c>
      <c r="M14" s="156"/>
      <c r="N14" s="159" t="s">
        <v>608</v>
      </c>
      <c r="P14" s="156"/>
      <c r="Q14" s="164"/>
      <c r="R14" s="670">
        <v>11.341258467286163</v>
      </c>
      <c r="S14" s="115"/>
    </row>
    <row r="15" spans="1:19">
      <c r="B15" s="102" t="s">
        <v>592</v>
      </c>
      <c r="G15" s="510">
        <f>ROUNDDOWN(G12/G16,0)</f>
        <v>275</v>
      </c>
      <c r="J15" s="164"/>
      <c r="M15" s="157"/>
      <c r="N15" s="159"/>
      <c r="P15" s="156"/>
      <c r="Q15" s="164"/>
      <c r="R15" s="511"/>
    </row>
    <row r="16" spans="1:19">
      <c r="B16" s="326" t="s">
        <v>700</v>
      </c>
      <c r="G16" s="661">
        <v>500</v>
      </c>
      <c r="J16" s="245" t="s">
        <v>499</v>
      </c>
      <c r="K16" s="245"/>
      <c r="L16" s="245"/>
      <c r="M16" s="157"/>
      <c r="N16" s="159" t="s">
        <v>610</v>
      </c>
      <c r="P16" s="156"/>
      <c r="Q16" s="164"/>
      <c r="R16" s="670">
        <v>40.301831789999994</v>
      </c>
    </row>
    <row r="17" spans="2:18">
      <c r="B17" s="102" t="s">
        <v>597</v>
      </c>
      <c r="G17" s="670">
        <v>130</v>
      </c>
      <c r="H17" s="102" t="s">
        <v>562</v>
      </c>
      <c r="J17" s="109" t="s">
        <v>478</v>
      </c>
      <c r="L17" s="107">
        <f ca="1">G32</f>
        <v>34274868.988776125</v>
      </c>
      <c r="M17" s="157"/>
      <c r="N17" s="159" t="s">
        <v>611</v>
      </c>
      <c r="P17" s="156"/>
      <c r="Q17" s="164"/>
      <c r="R17" s="670">
        <v>20.784065939999994</v>
      </c>
    </row>
    <row r="18" spans="2:18">
      <c r="B18" s="102" t="s">
        <v>594</v>
      </c>
      <c r="G18" s="662">
        <v>0.03</v>
      </c>
      <c r="H18" s="102" t="s">
        <v>564</v>
      </c>
      <c r="J18" s="109" t="s">
        <v>28</v>
      </c>
      <c r="L18" s="107">
        <f ca="1">L19-L17</f>
        <v>14689229.566618338</v>
      </c>
      <c r="M18" s="157"/>
      <c r="N18" s="159" t="s">
        <v>612</v>
      </c>
      <c r="P18" s="156"/>
      <c r="Q18" s="164"/>
      <c r="R18" s="670">
        <v>2.2709679299999994</v>
      </c>
    </row>
    <row r="19" spans="2:18">
      <c r="B19" s="102" t="s">
        <v>596</v>
      </c>
      <c r="G19" s="662">
        <v>0.7</v>
      </c>
      <c r="J19" s="114" t="s">
        <v>458</v>
      </c>
      <c r="K19" s="111"/>
      <c r="L19" s="112">
        <f ca="1">L14</f>
        <v>48964098.555394463</v>
      </c>
      <c r="M19" s="157"/>
      <c r="N19" s="158"/>
      <c r="P19" s="156"/>
      <c r="Q19" s="164"/>
    </row>
    <row r="20" spans="2:18">
      <c r="B20" s="102" t="s">
        <v>523</v>
      </c>
      <c r="G20" s="662">
        <v>0.03</v>
      </c>
      <c r="J20" s="164"/>
      <c r="M20" s="156"/>
      <c r="N20" s="245" t="s">
        <v>624</v>
      </c>
      <c r="O20" s="245"/>
      <c r="P20" s="245"/>
      <c r="Q20" s="245"/>
      <c r="R20" s="245"/>
    </row>
    <row r="21" spans="2:18">
      <c r="B21" s="102" t="s">
        <v>600</v>
      </c>
      <c r="G21" s="661">
        <v>365</v>
      </c>
      <c r="J21" s="102" t="s">
        <v>394</v>
      </c>
      <c r="L21" s="657">
        <v>0.08</v>
      </c>
      <c r="M21" s="157"/>
      <c r="N21" s="102" t="s">
        <v>618</v>
      </c>
      <c r="P21" s="156"/>
      <c r="Q21" s="164"/>
      <c r="R21" s="670">
        <v>18.031694669999997</v>
      </c>
    </row>
    <row r="22" spans="2:18">
      <c r="B22" s="102" t="s">
        <v>566</v>
      </c>
      <c r="G22" s="662">
        <v>0.02</v>
      </c>
      <c r="N22" s="102" t="s">
        <v>619</v>
      </c>
      <c r="P22" s="102"/>
      <c r="Q22" s="164"/>
      <c r="R22" s="670">
        <v>14.494426649999998</v>
      </c>
    </row>
    <row r="23" spans="2:18">
      <c r="B23" s="102" t="s">
        <v>389</v>
      </c>
      <c r="G23" s="663">
        <v>7.2999999999999995E-2</v>
      </c>
      <c r="N23" s="102" t="s">
        <v>620</v>
      </c>
      <c r="P23" s="102"/>
      <c r="Q23" s="164"/>
      <c r="R23" s="670">
        <v>2.5012043099999999</v>
      </c>
    </row>
    <row r="24" spans="2:18">
      <c r="B24" s="102" t="s">
        <v>390</v>
      </c>
      <c r="G24" s="663">
        <v>7.0000000000000007E-2</v>
      </c>
      <c r="N24" s="102" t="s">
        <v>621</v>
      </c>
      <c r="P24" s="102"/>
      <c r="Q24" s="164"/>
      <c r="R24" s="670">
        <v>7.9326898199999984</v>
      </c>
    </row>
    <row r="25" spans="2:18">
      <c r="B25" s="102" t="s">
        <v>391</v>
      </c>
      <c r="G25" s="665">
        <v>10</v>
      </c>
      <c r="H25" s="102" t="s">
        <v>560</v>
      </c>
      <c r="M25" s="107"/>
      <c r="N25" s="102" t="s">
        <v>36</v>
      </c>
      <c r="P25" s="102"/>
      <c r="Q25" s="164"/>
      <c r="R25" s="670">
        <v>5.3268326099999985</v>
      </c>
    </row>
    <row r="26" spans="2:18">
      <c r="B26" s="102" t="s">
        <v>393</v>
      </c>
      <c r="G26" s="662">
        <v>0</v>
      </c>
      <c r="J26" s="118"/>
      <c r="M26" s="107"/>
      <c r="N26" s="102" t="s">
        <v>622</v>
      </c>
      <c r="P26" s="102"/>
      <c r="Q26" s="164"/>
      <c r="R26" s="670">
        <v>2.7733018499999993</v>
      </c>
    </row>
    <row r="27" spans="2:18">
      <c r="J27" s="118"/>
      <c r="N27" s="164"/>
    </row>
    <row r="28" spans="2:18">
      <c r="B28" s="245" t="s">
        <v>576</v>
      </c>
      <c r="C28" s="245"/>
      <c r="D28" s="245"/>
      <c r="E28" s="245"/>
      <c r="F28" s="245"/>
      <c r="G28" s="245"/>
      <c r="H28" s="245"/>
      <c r="I28" s="105"/>
      <c r="N28" s="164"/>
    </row>
    <row r="29" spans="2:18">
      <c r="B29" s="102" t="s">
        <v>577</v>
      </c>
      <c r="G29" s="657">
        <v>0.7</v>
      </c>
      <c r="H29" s="102" t="s">
        <v>578</v>
      </c>
      <c r="J29" s="115"/>
      <c r="N29" s="164"/>
    </row>
    <row r="30" spans="2:18">
      <c r="B30" s="102" t="s">
        <v>460</v>
      </c>
      <c r="G30" s="657">
        <v>0.05</v>
      </c>
      <c r="J30" s="115"/>
    </row>
    <row r="31" spans="2:18">
      <c r="B31" s="102" t="s">
        <v>540</v>
      </c>
      <c r="G31" s="660">
        <v>30</v>
      </c>
      <c r="H31" s="102" t="s">
        <v>579</v>
      </c>
    </row>
    <row r="32" spans="2:18">
      <c r="B32" s="102" t="s">
        <v>580</v>
      </c>
      <c r="G32" s="107">
        <f ca="1">G29*L14</f>
        <v>34274868.988776125</v>
      </c>
    </row>
    <row r="33" spans="1:37">
      <c r="B33" s="102" t="s">
        <v>581</v>
      </c>
      <c r="G33" s="107">
        <f ca="1">PMT(G30/12,G31*12,G32)</f>
        <v>-183994.90799083235</v>
      </c>
    </row>
    <row r="35" spans="1:37">
      <c r="A35" s="102" t="s">
        <v>472</v>
      </c>
      <c r="B35" s="245" t="s">
        <v>513</v>
      </c>
      <c r="C35" s="245"/>
      <c r="D35" s="245"/>
      <c r="E35" s="245"/>
      <c r="F35" s="245"/>
      <c r="G35" s="666">
        <v>0</v>
      </c>
      <c r="H35" s="247">
        <f>G35+1</f>
        <v>1</v>
      </c>
      <c r="I35" s="247">
        <f t="shared" ref="I35:AK35" si="0">H35+1</f>
        <v>2</v>
      </c>
      <c r="J35" s="247">
        <f t="shared" si="0"/>
        <v>3</v>
      </c>
      <c r="K35" s="247">
        <f t="shared" si="0"/>
        <v>4</v>
      </c>
      <c r="L35" s="247">
        <f t="shared" si="0"/>
        <v>5</v>
      </c>
      <c r="M35" s="247">
        <f t="shared" si="0"/>
        <v>6</v>
      </c>
      <c r="N35" s="247">
        <f t="shared" si="0"/>
        <v>7</v>
      </c>
      <c r="O35" s="247">
        <f t="shared" si="0"/>
        <v>8</v>
      </c>
      <c r="P35" s="247">
        <f t="shared" si="0"/>
        <v>9</v>
      </c>
      <c r="Q35" s="247">
        <f t="shared" si="0"/>
        <v>10</v>
      </c>
      <c r="R35" s="247">
        <f t="shared" si="0"/>
        <v>11</v>
      </c>
      <c r="S35" s="119">
        <f t="shared" si="0"/>
        <v>12</v>
      </c>
      <c r="T35" s="119">
        <f t="shared" si="0"/>
        <v>13</v>
      </c>
      <c r="U35" s="119">
        <f t="shared" si="0"/>
        <v>14</v>
      </c>
      <c r="V35" s="119">
        <f t="shared" si="0"/>
        <v>15</v>
      </c>
      <c r="W35" s="119">
        <f t="shared" si="0"/>
        <v>16</v>
      </c>
      <c r="X35" s="119">
        <f t="shared" si="0"/>
        <v>17</v>
      </c>
      <c r="Y35" s="119">
        <f t="shared" si="0"/>
        <v>18</v>
      </c>
      <c r="Z35" s="119">
        <f t="shared" si="0"/>
        <v>19</v>
      </c>
      <c r="AA35" s="119">
        <f t="shared" si="0"/>
        <v>20</v>
      </c>
      <c r="AB35" s="119">
        <f t="shared" si="0"/>
        <v>21</v>
      </c>
      <c r="AC35" s="119">
        <f t="shared" si="0"/>
        <v>22</v>
      </c>
      <c r="AD35" s="119">
        <f t="shared" si="0"/>
        <v>23</v>
      </c>
      <c r="AE35" s="119">
        <f t="shared" si="0"/>
        <v>24</v>
      </c>
      <c r="AF35" s="119">
        <f t="shared" si="0"/>
        <v>25</v>
      </c>
      <c r="AG35" s="119">
        <f t="shared" si="0"/>
        <v>26</v>
      </c>
      <c r="AH35" s="119">
        <f t="shared" si="0"/>
        <v>27</v>
      </c>
      <c r="AI35" s="119">
        <f t="shared" si="0"/>
        <v>28</v>
      </c>
      <c r="AJ35" s="119">
        <f t="shared" si="0"/>
        <v>29</v>
      </c>
      <c r="AK35" s="119">
        <f t="shared" si="0"/>
        <v>30</v>
      </c>
    </row>
    <row r="36" spans="1:37">
      <c r="B36" s="102" t="s">
        <v>595</v>
      </c>
      <c r="G36" s="107">
        <f ca="1">-L14</f>
        <v>-48964098.555394463</v>
      </c>
    </row>
    <row r="37" spans="1:37">
      <c r="I37" s="121"/>
    </row>
    <row r="38" spans="1:37">
      <c r="B38" s="102" t="s">
        <v>598</v>
      </c>
      <c r="H38" s="150">
        <f>$G$15</f>
        <v>275</v>
      </c>
      <c r="I38" s="150">
        <f t="shared" ref="I38:AK38" si="1">$G$15</f>
        <v>275</v>
      </c>
      <c r="J38" s="150">
        <f t="shared" si="1"/>
        <v>275</v>
      </c>
      <c r="K38" s="150">
        <f t="shared" si="1"/>
        <v>275</v>
      </c>
      <c r="L38" s="150">
        <f t="shared" si="1"/>
        <v>275</v>
      </c>
      <c r="M38" s="150">
        <f t="shared" si="1"/>
        <v>275</v>
      </c>
      <c r="N38" s="150">
        <f t="shared" si="1"/>
        <v>275</v>
      </c>
      <c r="O38" s="150">
        <f t="shared" si="1"/>
        <v>275</v>
      </c>
      <c r="P38" s="150">
        <f t="shared" si="1"/>
        <v>275</v>
      </c>
      <c r="Q38" s="150">
        <f t="shared" si="1"/>
        <v>275</v>
      </c>
      <c r="R38" s="150">
        <f t="shared" si="1"/>
        <v>275</v>
      </c>
      <c r="S38" s="150">
        <f t="shared" si="1"/>
        <v>275</v>
      </c>
      <c r="T38" s="150">
        <f t="shared" si="1"/>
        <v>275</v>
      </c>
      <c r="U38" s="150">
        <f t="shared" si="1"/>
        <v>275</v>
      </c>
      <c r="V38" s="150">
        <f t="shared" si="1"/>
        <v>275</v>
      </c>
      <c r="W38" s="150">
        <f t="shared" si="1"/>
        <v>275</v>
      </c>
      <c r="X38" s="150">
        <f t="shared" si="1"/>
        <v>275</v>
      </c>
      <c r="Y38" s="150">
        <f t="shared" si="1"/>
        <v>275</v>
      </c>
      <c r="Z38" s="150">
        <f t="shared" si="1"/>
        <v>275</v>
      </c>
      <c r="AA38" s="150">
        <f t="shared" si="1"/>
        <v>275</v>
      </c>
      <c r="AB38" s="150">
        <f t="shared" si="1"/>
        <v>275</v>
      </c>
      <c r="AC38" s="150">
        <f t="shared" si="1"/>
        <v>275</v>
      </c>
      <c r="AD38" s="150">
        <f t="shared" si="1"/>
        <v>275</v>
      </c>
      <c r="AE38" s="150">
        <f t="shared" si="1"/>
        <v>275</v>
      </c>
      <c r="AF38" s="150">
        <f t="shared" si="1"/>
        <v>275</v>
      </c>
      <c r="AG38" s="150">
        <f t="shared" si="1"/>
        <v>275</v>
      </c>
      <c r="AH38" s="150">
        <f t="shared" si="1"/>
        <v>275</v>
      </c>
      <c r="AI38" s="150">
        <f t="shared" si="1"/>
        <v>275</v>
      </c>
      <c r="AJ38" s="150">
        <f t="shared" si="1"/>
        <v>275</v>
      </c>
      <c r="AK38" s="150">
        <f t="shared" si="1"/>
        <v>275</v>
      </c>
    </row>
    <row r="39" spans="1:37">
      <c r="B39" s="102" t="s">
        <v>602</v>
      </c>
      <c r="H39" s="152">
        <f t="shared" ref="H39:AK39" si="2">H38*H42*$G$21</f>
        <v>70262.5</v>
      </c>
      <c r="I39" s="152">
        <f t="shared" si="2"/>
        <v>70262.5</v>
      </c>
      <c r="J39" s="152">
        <f t="shared" si="2"/>
        <v>70262.5</v>
      </c>
      <c r="K39" s="152">
        <f t="shared" si="2"/>
        <v>70262.5</v>
      </c>
      <c r="L39" s="152">
        <f t="shared" si="2"/>
        <v>70262.5</v>
      </c>
      <c r="M39" s="152">
        <f t="shared" si="2"/>
        <v>70262.5</v>
      </c>
      <c r="N39" s="152">
        <f t="shared" si="2"/>
        <v>70262.5</v>
      </c>
      <c r="O39" s="152">
        <f t="shared" si="2"/>
        <v>70262.5</v>
      </c>
      <c r="P39" s="152">
        <f t="shared" si="2"/>
        <v>70262.5</v>
      </c>
      <c r="Q39" s="152">
        <f t="shared" si="2"/>
        <v>70262.5</v>
      </c>
      <c r="R39" s="152">
        <f t="shared" si="2"/>
        <v>70262.5</v>
      </c>
      <c r="S39" s="152">
        <f t="shared" si="2"/>
        <v>70262.5</v>
      </c>
      <c r="T39" s="152">
        <f t="shared" si="2"/>
        <v>70262.5</v>
      </c>
      <c r="U39" s="152">
        <f t="shared" si="2"/>
        <v>70262.5</v>
      </c>
      <c r="V39" s="152">
        <f t="shared" si="2"/>
        <v>70262.5</v>
      </c>
      <c r="W39" s="152">
        <f t="shared" si="2"/>
        <v>70262.5</v>
      </c>
      <c r="X39" s="152">
        <f t="shared" si="2"/>
        <v>70262.5</v>
      </c>
      <c r="Y39" s="152">
        <f t="shared" si="2"/>
        <v>70262.5</v>
      </c>
      <c r="Z39" s="152">
        <f t="shared" si="2"/>
        <v>70262.5</v>
      </c>
      <c r="AA39" s="152">
        <f t="shared" si="2"/>
        <v>70262.5</v>
      </c>
      <c r="AB39" s="152">
        <f t="shared" si="2"/>
        <v>70262.5</v>
      </c>
      <c r="AC39" s="152">
        <f t="shared" si="2"/>
        <v>70262.5</v>
      </c>
      <c r="AD39" s="152">
        <f t="shared" si="2"/>
        <v>70262.5</v>
      </c>
      <c r="AE39" s="152">
        <f t="shared" si="2"/>
        <v>70262.5</v>
      </c>
      <c r="AF39" s="152">
        <f t="shared" si="2"/>
        <v>70262.5</v>
      </c>
      <c r="AG39" s="152">
        <f t="shared" si="2"/>
        <v>70262.5</v>
      </c>
      <c r="AH39" s="152">
        <f t="shared" si="2"/>
        <v>70262.5</v>
      </c>
      <c r="AI39" s="152">
        <f t="shared" si="2"/>
        <v>70262.5</v>
      </c>
      <c r="AJ39" s="152">
        <f t="shared" si="2"/>
        <v>70262.5</v>
      </c>
      <c r="AK39" s="152">
        <f t="shared" si="2"/>
        <v>70262.5</v>
      </c>
    </row>
    <row r="40" spans="1:37">
      <c r="B40" s="102" t="s">
        <v>599</v>
      </c>
      <c r="H40" s="152">
        <f t="shared" ref="H40:AK40" si="3">H38*$G$21</f>
        <v>100375</v>
      </c>
      <c r="I40" s="152">
        <f t="shared" si="3"/>
        <v>100375</v>
      </c>
      <c r="J40" s="152">
        <f t="shared" si="3"/>
        <v>100375</v>
      </c>
      <c r="K40" s="152">
        <f t="shared" si="3"/>
        <v>100375</v>
      </c>
      <c r="L40" s="152">
        <f t="shared" si="3"/>
        <v>100375</v>
      </c>
      <c r="M40" s="152">
        <f t="shared" si="3"/>
        <v>100375</v>
      </c>
      <c r="N40" s="152">
        <f t="shared" si="3"/>
        <v>100375</v>
      </c>
      <c r="O40" s="152">
        <f t="shared" si="3"/>
        <v>100375</v>
      </c>
      <c r="P40" s="152">
        <f t="shared" si="3"/>
        <v>100375</v>
      </c>
      <c r="Q40" s="152">
        <f t="shared" si="3"/>
        <v>100375</v>
      </c>
      <c r="R40" s="152">
        <f t="shared" si="3"/>
        <v>100375</v>
      </c>
      <c r="S40" s="152">
        <f t="shared" si="3"/>
        <v>100375</v>
      </c>
      <c r="T40" s="152">
        <f t="shared" si="3"/>
        <v>100375</v>
      </c>
      <c r="U40" s="152">
        <f t="shared" si="3"/>
        <v>100375</v>
      </c>
      <c r="V40" s="152">
        <f t="shared" si="3"/>
        <v>100375</v>
      </c>
      <c r="W40" s="152">
        <f t="shared" si="3"/>
        <v>100375</v>
      </c>
      <c r="X40" s="152">
        <f t="shared" si="3"/>
        <v>100375</v>
      </c>
      <c r="Y40" s="152">
        <f t="shared" si="3"/>
        <v>100375</v>
      </c>
      <c r="Z40" s="152">
        <f t="shared" si="3"/>
        <v>100375</v>
      </c>
      <c r="AA40" s="152">
        <f t="shared" si="3"/>
        <v>100375</v>
      </c>
      <c r="AB40" s="152">
        <f t="shared" si="3"/>
        <v>100375</v>
      </c>
      <c r="AC40" s="152">
        <f t="shared" si="3"/>
        <v>100375</v>
      </c>
      <c r="AD40" s="152">
        <f t="shared" si="3"/>
        <v>100375</v>
      </c>
      <c r="AE40" s="152">
        <f t="shared" si="3"/>
        <v>100375</v>
      </c>
      <c r="AF40" s="152">
        <f t="shared" si="3"/>
        <v>100375</v>
      </c>
      <c r="AG40" s="152">
        <f t="shared" si="3"/>
        <v>100375</v>
      </c>
      <c r="AH40" s="152">
        <f t="shared" si="3"/>
        <v>100375</v>
      </c>
      <c r="AI40" s="152">
        <f t="shared" si="3"/>
        <v>100375</v>
      </c>
      <c r="AJ40" s="152">
        <f t="shared" si="3"/>
        <v>100375</v>
      </c>
      <c r="AK40" s="152">
        <f t="shared" si="3"/>
        <v>100375</v>
      </c>
    </row>
    <row r="41" spans="1:37">
      <c r="B41" s="102" t="s">
        <v>593</v>
      </c>
      <c r="H41" s="107">
        <f t="shared" ref="H41:AK41" si="4">$G$17*((1+$G$18)^G35)</f>
        <v>130</v>
      </c>
      <c r="I41" s="107">
        <f t="shared" si="4"/>
        <v>133.9</v>
      </c>
      <c r="J41" s="107">
        <f t="shared" si="4"/>
        <v>137.917</v>
      </c>
      <c r="K41" s="107">
        <f t="shared" si="4"/>
        <v>142.05450999999999</v>
      </c>
      <c r="L41" s="107">
        <f t="shared" si="4"/>
        <v>146.31614529999999</v>
      </c>
      <c r="M41" s="107">
        <f t="shared" si="4"/>
        <v>150.70562965899998</v>
      </c>
      <c r="N41" s="107">
        <f t="shared" si="4"/>
        <v>155.22679854876998</v>
      </c>
      <c r="O41" s="107">
        <f t="shared" si="4"/>
        <v>159.88360250523309</v>
      </c>
      <c r="P41" s="107">
        <f t="shared" si="4"/>
        <v>164.68011058039008</v>
      </c>
      <c r="Q41" s="107">
        <f t="shared" si="4"/>
        <v>169.62051389780177</v>
      </c>
      <c r="R41" s="107">
        <f t="shared" si="4"/>
        <v>174.70912931473583</v>
      </c>
      <c r="S41" s="107">
        <f t="shared" si="4"/>
        <v>179.95040319417791</v>
      </c>
      <c r="T41" s="107">
        <f t="shared" si="4"/>
        <v>185.34891529000322</v>
      </c>
      <c r="U41" s="107">
        <f t="shared" si="4"/>
        <v>190.90938274870331</v>
      </c>
      <c r="V41" s="107">
        <f t="shared" si="4"/>
        <v>196.63666423116442</v>
      </c>
      <c r="W41" s="107">
        <f t="shared" si="4"/>
        <v>202.53576415809937</v>
      </c>
      <c r="X41" s="107">
        <f t="shared" si="4"/>
        <v>208.61183708284233</v>
      </c>
      <c r="Y41" s="107">
        <f t="shared" si="4"/>
        <v>214.87019219532758</v>
      </c>
      <c r="Z41" s="107">
        <f t="shared" si="4"/>
        <v>221.31629796118742</v>
      </c>
      <c r="AA41" s="107">
        <f t="shared" si="4"/>
        <v>227.95578690002304</v>
      </c>
      <c r="AB41" s="107">
        <f t="shared" si="4"/>
        <v>234.79446050702373</v>
      </c>
      <c r="AC41" s="107">
        <f t="shared" si="4"/>
        <v>241.83829432223439</v>
      </c>
      <c r="AD41" s="107">
        <f t="shared" si="4"/>
        <v>249.09344315190145</v>
      </c>
      <c r="AE41" s="107">
        <f t="shared" si="4"/>
        <v>256.56624644645854</v>
      </c>
      <c r="AF41" s="107">
        <f t="shared" si="4"/>
        <v>264.26323383985226</v>
      </c>
      <c r="AG41" s="107">
        <f t="shared" si="4"/>
        <v>272.19113085504779</v>
      </c>
      <c r="AH41" s="107">
        <f t="shared" si="4"/>
        <v>280.35686478069925</v>
      </c>
      <c r="AI41" s="107">
        <f t="shared" si="4"/>
        <v>288.76757072412022</v>
      </c>
      <c r="AJ41" s="107">
        <f t="shared" si="4"/>
        <v>297.43059784584381</v>
      </c>
      <c r="AK41" s="107">
        <f t="shared" si="4"/>
        <v>306.35351578121913</v>
      </c>
    </row>
    <row r="42" spans="1:37">
      <c r="B42" s="102" t="s">
        <v>412</v>
      </c>
      <c r="H42" s="151">
        <f t="shared" ref="H42:AK42" si="5">$G$19</f>
        <v>0.7</v>
      </c>
      <c r="I42" s="151">
        <f t="shared" si="5"/>
        <v>0.7</v>
      </c>
      <c r="J42" s="151">
        <f t="shared" si="5"/>
        <v>0.7</v>
      </c>
      <c r="K42" s="151">
        <f t="shared" si="5"/>
        <v>0.7</v>
      </c>
      <c r="L42" s="151">
        <f t="shared" si="5"/>
        <v>0.7</v>
      </c>
      <c r="M42" s="151">
        <f t="shared" si="5"/>
        <v>0.7</v>
      </c>
      <c r="N42" s="151">
        <f t="shared" si="5"/>
        <v>0.7</v>
      </c>
      <c r="O42" s="151">
        <f t="shared" si="5"/>
        <v>0.7</v>
      </c>
      <c r="P42" s="151">
        <f t="shared" si="5"/>
        <v>0.7</v>
      </c>
      <c r="Q42" s="151">
        <f t="shared" si="5"/>
        <v>0.7</v>
      </c>
      <c r="R42" s="151">
        <f t="shared" si="5"/>
        <v>0.7</v>
      </c>
      <c r="S42" s="151">
        <f t="shared" si="5"/>
        <v>0.7</v>
      </c>
      <c r="T42" s="151">
        <f t="shared" si="5"/>
        <v>0.7</v>
      </c>
      <c r="U42" s="151">
        <f t="shared" si="5"/>
        <v>0.7</v>
      </c>
      <c r="V42" s="151">
        <f t="shared" si="5"/>
        <v>0.7</v>
      </c>
      <c r="W42" s="151">
        <f t="shared" si="5"/>
        <v>0.7</v>
      </c>
      <c r="X42" s="151">
        <f t="shared" si="5"/>
        <v>0.7</v>
      </c>
      <c r="Y42" s="151">
        <f t="shared" si="5"/>
        <v>0.7</v>
      </c>
      <c r="Z42" s="151">
        <f t="shared" si="5"/>
        <v>0.7</v>
      </c>
      <c r="AA42" s="151">
        <f t="shared" si="5"/>
        <v>0.7</v>
      </c>
      <c r="AB42" s="151">
        <f t="shared" si="5"/>
        <v>0.7</v>
      </c>
      <c r="AC42" s="151">
        <f t="shared" si="5"/>
        <v>0.7</v>
      </c>
      <c r="AD42" s="151">
        <f t="shared" si="5"/>
        <v>0.7</v>
      </c>
      <c r="AE42" s="151">
        <f t="shared" si="5"/>
        <v>0.7</v>
      </c>
      <c r="AF42" s="151">
        <f t="shared" si="5"/>
        <v>0.7</v>
      </c>
      <c r="AG42" s="151">
        <f t="shared" si="5"/>
        <v>0.7</v>
      </c>
      <c r="AH42" s="151">
        <f t="shared" si="5"/>
        <v>0.7</v>
      </c>
      <c r="AI42" s="151">
        <f t="shared" si="5"/>
        <v>0.7</v>
      </c>
      <c r="AJ42" s="151">
        <f t="shared" si="5"/>
        <v>0.7</v>
      </c>
      <c r="AK42" s="151">
        <f t="shared" si="5"/>
        <v>0.7</v>
      </c>
    </row>
    <row r="43" spans="1:37">
      <c r="B43" s="102" t="s">
        <v>601</v>
      </c>
      <c r="H43" s="107">
        <f>H41*H42</f>
        <v>91</v>
      </c>
      <c r="I43" s="107">
        <f t="shared" ref="I43:AK43" si="6">I41*I42</f>
        <v>93.73</v>
      </c>
      <c r="J43" s="107">
        <f t="shared" si="6"/>
        <v>96.541899999999998</v>
      </c>
      <c r="K43" s="107">
        <f t="shared" si="6"/>
        <v>99.43815699999999</v>
      </c>
      <c r="L43" s="107">
        <f t="shared" si="6"/>
        <v>102.42130170999998</v>
      </c>
      <c r="M43" s="107">
        <f t="shared" si="6"/>
        <v>105.49394076129998</v>
      </c>
      <c r="N43" s="107">
        <f t="shared" si="6"/>
        <v>108.65875898413898</v>
      </c>
      <c r="O43" s="107">
        <f t="shared" si="6"/>
        <v>111.91852175366316</v>
      </c>
      <c r="P43" s="107">
        <f t="shared" si="6"/>
        <v>115.27607740627305</v>
      </c>
      <c r="Q43" s="107">
        <f t="shared" si="6"/>
        <v>118.73435972846123</v>
      </c>
      <c r="R43" s="107">
        <f t="shared" si="6"/>
        <v>122.29639052031507</v>
      </c>
      <c r="S43" s="107">
        <f t="shared" si="6"/>
        <v>125.96528223592453</v>
      </c>
      <c r="T43" s="107">
        <f t="shared" si="6"/>
        <v>129.74424070300225</v>
      </c>
      <c r="U43" s="107">
        <f t="shared" si="6"/>
        <v>133.6365679240923</v>
      </c>
      <c r="V43" s="107">
        <f t="shared" si="6"/>
        <v>137.64566496181507</v>
      </c>
      <c r="W43" s="107">
        <f t="shared" si="6"/>
        <v>141.77503491066955</v>
      </c>
      <c r="X43" s="107">
        <f t="shared" si="6"/>
        <v>146.02828595798962</v>
      </c>
      <c r="Y43" s="107">
        <f t="shared" si="6"/>
        <v>150.40913453672928</v>
      </c>
      <c r="Z43" s="107">
        <f t="shared" si="6"/>
        <v>154.92140857283118</v>
      </c>
      <c r="AA43" s="107">
        <f t="shared" si="6"/>
        <v>159.56905083001612</v>
      </c>
      <c r="AB43" s="107">
        <f t="shared" si="6"/>
        <v>164.35612235491661</v>
      </c>
      <c r="AC43" s="107">
        <f t="shared" si="6"/>
        <v>169.28680602556406</v>
      </c>
      <c r="AD43" s="107">
        <f t="shared" si="6"/>
        <v>174.36541020633101</v>
      </c>
      <c r="AE43" s="107">
        <f t="shared" si="6"/>
        <v>179.59637251252096</v>
      </c>
      <c r="AF43" s="107">
        <f t="shared" si="6"/>
        <v>184.98426368789657</v>
      </c>
      <c r="AG43" s="107">
        <f t="shared" si="6"/>
        <v>190.53379159853344</v>
      </c>
      <c r="AH43" s="107">
        <f t="shared" si="6"/>
        <v>196.24980534648947</v>
      </c>
      <c r="AI43" s="107">
        <f t="shared" si="6"/>
        <v>202.13729950688415</v>
      </c>
      <c r="AJ43" s="107">
        <f t="shared" si="6"/>
        <v>208.20141849209065</v>
      </c>
      <c r="AK43" s="107">
        <f t="shared" si="6"/>
        <v>214.44746104685339</v>
      </c>
    </row>
    <row r="44" spans="1:37"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</row>
    <row r="45" spans="1:37">
      <c r="B45" s="149" t="s">
        <v>603</v>
      </c>
      <c r="H45" s="107">
        <f>H43*H40</f>
        <v>9134125</v>
      </c>
      <c r="I45" s="107">
        <f t="shared" ref="I45:AK45" si="7">I43*I40</f>
        <v>9408148.75</v>
      </c>
      <c r="J45" s="107">
        <f t="shared" si="7"/>
        <v>9690393.2125000004</v>
      </c>
      <c r="K45" s="107">
        <f t="shared" si="7"/>
        <v>9981105.0088749994</v>
      </c>
      <c r="L45" s="107">
        <f t="shared" si="7"/>
        <v>10280538.159141248</v>
      </c>
      <c r="M45" s="107">
        <f t="shared" si="7"/>
        <v>10588954.303915486</v>
      </c>
      <c r="N45" s="107">
        <f t="shared" si="7"/>
        <v>10906622.93303295</v>
      </c>
      <c r="O45" s="107">
        <f t="shared" si="7"/>
        <v>11233821.62102394</v>
      </c>
      <c r="P45" s="107">
        <f t="shared" si="7"/>
        <v>11570836.269654658</v>
      </c>
      <c r="Q45" s="107">
        <f t="shared" si="7"/>
        <v>11917961.357744295</v>
      </c>
      <c r="R45" s="107">
        <f t="shared" si="7"/>
        <v>12275500.198476626</v>
      </c>
      <c r="S45" s="107">
        <f t="shared" si="7"/>
        <v>12643765.204430925</v>
      </c>
      <c r="T45" s="107">
        <f t="shared" si="7"/>
        <v>13023078.160563851</v>
      </c>
      <c r="U45" s="107">
        <f t="shared" si="7"/>
        <v>13413770.505380765</v>
      </c>
      <c r="V45" s="107">
        <f t="shared" si="7"/>
        <v>13816183.620542187</v>
      </c>
      <c r="W45" s="107">
        <f t="shared" si="7"/>
        <v>14230669.129158456</v>
      </c>
      <c r="X45" s="107">
        <f t="shared" si="7"/>
        <v>14657589.203033209</v>
      </c>
      <c r="Y45" s="107">
        <f t="shared" si="7"/>
        <v>15097316.879124202</v>
      </c>
      <c r="Z45" s="107">
        <f t="shared" si="7"/>
        <v>15550236.38549793</v>
      </c>
      <c r="AA45" s="107">
        <f t="shared" si="7"/>
        <v>16016743.477062868</v>
      </c>
      <c r="AB45" s="107">
        <f t="shared" si="7"/>
        <v>16497245.781374754</v>
      </c>
      <c r="AC45" s="107">
        <f t="shared" si="7"/>
        <v>16992163.154815994</v>
      </c>
      <c r="AD45" s="107">
        <f t="shared" si="7"/>
        <v>17501928.049460474</v>
      </c>
      <c r="AE45" s="107">
        <f t="shared" si="7"/>
        <v>18026985.890944291</v>
      </c>
      <c r="AF45" s="107">
        <f t="shared" si="7"/>
        <v>18567795.46767262</v>
      </c>
      <c r="AG45" s="107">
        <f t="shared" si="7"/>
        <v>19124829.331702795</v>
      </c>
      <c r="AH45" s="107">
        <f t="shared" si="7"/>
        <v>19698574.211653881</v>
      </c>
      <c r="AI45" s="107">
        <f t="shared" si="7"/>
        <v>20289531.438003495</v>
      </c>
      <c r="AJ45" s="107">
        <f t="shared" si="7"/>
        <v>20898217.3811436</v>
      </c>
      <c r="AK45" s="107">
        <f t="shared" si="7"/>
        <v>21525163.902577911</v>
      </c>
    </row>
    <row r="46" spans="1:37">
      <c r="B46" s="149" t="s">
        <v>604</v>
      </c>
      <c r="H46" s="107">
        <f t="shared" ref="H46:AK46" si="8">H$39*$R$13</f>
        <v>1924081.247955811</v>
      </c>
      <c r="I46" s="107">
        <f t="shared" si="8"/>
        <v>1924081.247955811</v>
      </c>
      <c r="J46" s="107">
        <f t="shared" si="8"/>
        <v>1924081.247955811</v>
      </c>
      <c r="K46" s="107">
        <f t="shared" si="8"/>
        <v>1924081.247955811</v>
      </c>
      <c r="L46" s="107">
        <f t="shared" si="8"/>
        <v>1924081.247955811</v>
      </c>
      <c r="M46" s="107">
        <f t="shared" si="8"/>
        <v>1924081.247955811</v>
      </c>
      <c r="N46" s="107">
        <f t="shared" si="8"/>
        <v>1924081.247955811</v>
      </c>
      <c r="O46" s="107">
        <f t="shared" si="8"/>
        <v>1924081.247955811</v>
      </c>
      <c r="P46" s="107">
        <f t="shared" si="8"/>
        <v>1924081.247955811</v>
      </c>
      <c r="Q46" s="107">
        <f t="shared" si="8"/>
        <v>1924081.247955811</v>
      </c>
      <c r="R46" s="107">
        <f t="shared" si="8"/>
        <v>1924081.247955811</v>
      </c>
      <c r="S46" s="107">
        <f t="shared" si="8"/>
        <v>1924081.247955811</v>
      </c>
      <c r="T46" s="107">
        <f t="shared" si="8"/>
        <v>1924081.247955811</v>
      </c>
      <c r="U46" s="107">
        <f t="shared" si="8"/>
        <v>1924081.247955811</v>
      </c>
      <c r="V46" s="107">
        <f t="shared" si="8"/>
        <v>1924081.247955811</v>
      </c>
      <c r="W46" s="107">
        <f t="shared" si="8"/>
        <v>1924081.247955811</v>
      </c>
      <c r="X46" s="107">
        <f t="shared" si="8"/>
        <v>1924081.247955811</v>
      </c>
      <c r="Y46" s="107">
        <f t="shared" si="8"/>
        <v>1924081.247955811</v>
      </c>
      <c r="Z46" s="107">
        <f t="shared" si="8"/>
        <v>1924081.247955811</v>
      </c>
      <c r="AA46" s="107">
        <f t="shared" si="8"/>
        <v>1924081.247955811</v>
      </c>
      <c r="AB46" s="107">
        <f t="shared" si="8"/>
        <v>1924081.247955811</v>
      </c>
      <c r="AC46" s="107">
        <f t="shared" si="8"/>
        <v>1924081.247955811</v>
      </c>
      <c r="AD46" s="107">
        <f t="shared" si="8"/>
        <v>1924081.247955811</v>
      </c>
      <c r="AE46" s="107">
        <f t="shared" si="8"/>
        <v>1924081.247955811</v>
      </c>
      <c r="AF46" s="107">
        <f t="shared" si="8"/>
        <v>1924081.247955811</v>
      </c>
      <c r="AG46" s="107">
        <f t="shared" si="8"/>
        <v>1924081.247955811</v>
      </c>
      <c r="AH46" s="107">
        <f t="shared" si="8"/>
        <v>1924081.247955811</v>
      </c>
      <c r="AI46" s="107">
        <f t="shared" si="8"/>
        <v>1924081.247955811</v>
      </c>
      <c r="AJ46" s="107">
        <f t="shared" si="8"/>
        <v>1924081.247955811</v>
      </c>
      <c r="AK46" s="107">
        <f t="shared" si="8"/>
        <v>1924081.247955811</v>
      </c>
    </row>
    <row r="47" spans="1:37">
      <c r="B47" s="149" t="s">
        <v>605</v>
      </c>
      <c r="H47" s="107">
        <f t="shared" ref="H47:AK47" si="9">H39*$R$14</f>
        <v>796865.1730576941</v>
      </c>
      <c r="I47" s="107">
        <f t="shared" si="9"/>
        <v>796865.1730576941</v>
      </c>
      <c r="J47" s="107">
        <f t="shared" si="9"/>
        <v>796865.1730576941</v>
      </c>
      <c r="K47" s="107">
        <f t="shared" si="9"/>
        <v>796865.1730576941</v>
      </c>
      <c r="L47" s="107">
        <f t="shared" si="9"/>
        <v>796865.1730576941</v>
      </c>
      <c r="M47" s="107">
        <f t="shared" si="9"/>
        <v>796865.1730576941</v>
      </c>
      <c r="N47" s="107">
        <f t="shared" si="9"/>
        <v>796865.1730576941</v>
      </c>
      <c r="O47" s="107">
        <f t="shared" si="9"/>
        <v>796865.1730576941</v>
      </c>
      <c r="P47" s="107">
        <f t="shared" si="9"/>
        <v>796865.1730576941</v>
      </c>
      <c r="Q47" s="107">
        <f t="shared" si="9"/>
        <v>796865.1730576941</v>
      </c>
      <c r="R47" s="107">
        <f t="shared" si="9"/>
        <v>796865.1730576941</v>
      </c>
      <c r="S47" s="107">
        <f t="shared" si="9"/>
        <v>796865.1730576941</v>
      </c>
      <c r="T47" s="107">
        <f t="shared" si="9"/>
        <v>796865.1730576941</v>
      </c>
      <c r="U47" s="107">
        <f t="shared" si="9"/>
        <v>796865.1730576941</v>
      </c>
      <c r="V47" s="107">
        <f t="shared" si="9"/>
        <v>796865.1730576941</v>
      </c>
      <c r="W47" s="107">
        <f t="shared" si="9"/>
        <v>796865.1730576941</v>
      </c>
      <c r="X47" s="107">
        <f t="shared" si="9"/>
        <v>796865.1730576941</v>
      </c>
      <c r="Y47" s="107">
        <f t="shared" si="9"/>
        <v>796865.1730576941</v>
      </c>
      <c r="Z47" s="107">
        <f t="shared" si="9"/>
        <v>796865.1730576941</v>
      </c>
      <c r="AA47" s="107">
        <f t="shared" si="9"/>
        <v>796865.1730576941</v>
      </c>
      <c r="AB47" s="107">
        <f t="shared" si="9"/>
        <v>796865.1730576941</v>
      </c>
      <c r="AC47" s="107">
        <f t="shared" si="9"/>
        <v>796865.1730576941</v>
      </c>
      <c r="AD47" s="107">
        <f t="shared" si="9"/>
        <v>796865.1730576941</v>
      </c>
      <c r="AE47" s="107">
        <f t="shared" si="9"/>
        <v>796865.1730576941</v>
      </c>
      <c r="AF47" s="107">
        <f t="shared" si="9"/>
        <v>796865.1730576941</v>
      </c>
      <c r="AG47" s="107">
        <f t="shared" si="9"/>
        <v>796865.1730576941</v>
      </c>
      <c r="AH47" s="107">
        <f t="shared" si="9"/>
        <v>796865.1730576941</v>
      </c>
      <c r="AI47" s="107">
        <f t="shared" si="9"/>
        <v>796865.1730576941</v>
      </c>
      <c r="AJ47" s="107">
        <f t="shared" si="9"/>
        <v>796865.1730576941</v>
      </c>
      <c r="AK47" s="107">
        <f t="shared" si="9"/>
        <v>796865.1730576941</v>
      </c>
    </row>
    <row r="48" spans="1:37">
      <c r="B48" s="111" t="s">
        <v>10</v>
      </c>
      <c r="C48" s="111"/>
      <c r="D48" s="111"/>
      <c r="E48" s="111"/>
      <c r="F48" s="111"/>
      <c r="G48" s="111"/>
      <c r="H48" s="112">
        <f>SUM(H45:H47)</f>
        <v>11855071.421013504</v>
      </c>
      <c r="I48" s="112">
        <f t="shared" ref="I48:AK48" si="10">SUM(I45:I47)</f>
        <v>12129095.171013504</v>
      </c>
      <c r="J48" s="112">
        <f t="shared" si="10"/>
        <v>12411339.633513505</v>
      </c>
      <c r="K48" s="112">
        <f t="shared" si="10"/>
        <v>12702051.429888504</v>
      </c>
      <c r="L48" s="112">
        <f t="shared" si="10"/>
        <v>13001484.580154752</v>
      </c>
      <c r="M48" s="112">
        <f t="shared" si="10"/>
        <v>13309900.72492899</v>
      </c>
      <c r="N48" s="112">
        <f t="shared" si="10"/>
        <v>13627569.354046455</v>
      </c>
      <c r="O48" s="112">
        <f t="shared" si="10"/>
        <v>13954768.042037444</v>
      </c>
      <c r="P48" s="112">
        <f t="shared" si="10"/>
        <v>14291782.690668162</v>
      </c>
      <c r="Q48" s="112">
        <f t="shared" si="10"/>
        <v>14638907.778757799</v>
      </c>
      <c r="R48" s="112">
        <f t="shared" si="10"/>
        <v>14996446.61949013</v>
      </c>
      <c r="S48" s="112">
        <f t="shared" si="10"/>
        <v>15364711.625444429</v>
      </c>
      <c r="T48" s="112">
        <f t="shared" si="10"/>
        <v>15744024.581577355</v>
      </c>
      <c r="U48" s="112">
        <f t="shared" si="10"/>
        <v>16134716.926394269</v>
      </c>
      <c r="V48" s="112">
        <f t="shared" si="10"/>
        <v>16537130.041555692</v>
      </c>
      <c r="W48" s="112">
        <f t="shared" si="10"/>
        <v>16951615.55017196</v>
      </c>
      <c r="X48" s="112">
        <f t="shared" si="10"/>
        <v>17378535.624046713</v>
      </c>
      <c r="Y48" s="112">
        <f t="shared" si="10"/>
        <v>17818263.300137706</v>
      </c>
      <c r="Z48" s="112">
        <f t="shared" si="10"/>
        <v>18271182.806511436</v>
      </c>
      <c r="AA48" s="112">
        <f t="shared" si="10"/>
        <v>18737689.898076374</v>
      </c>
      <c r="AB48" s="112">
        <f t="shared" si="10"/>
        <v>19218192.202388261</v>
      </c>
      <c r="AC48" s="112">
        <f t="shared" si="10"/>
        <v>19713109.575829498</v>
      </c>
      <c r="AD48" s="112">
        <f t="shared" si="10"/>
        <v>20222874.470473979</v>
      </c>
      <c r="AE48" s="112">
        <f t="shared" si="10"/>
        <v>20747932.311957795</v>
      </c>
      <c r="AF48" s="112">
        <f t="shared" si="10"/>
        <v>21288741.888686124</v>
      </c>
      <c r="AG48" s="112">
        <f t="shared" si="10"/>
        <v>21845775.752716299</v>
      </c>
      <c r="AH48" s="112">
        <f t="shared" si="10"/>
        <v>22419520.632667385</v>
      </c>
      <c r="AI48" s="112">
        <f t="shared" si="10"/>
        <v>23010477.859017</v>
      </c>
      <c r="AJ48" s="112">
        <f t="shared" si="10"/>
        <v>23619163.802157104</v>
      </c>
      <c r="AK48" s="112">
        <f t="shared" si="10"/>
        <v>24246110.323591415</v>
      </c>
    </row>
    <row r="49" spans="2:37"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</row>
    <row r="50" spans="2:37">
      <c r="B50" s="102" t="s">
        <v>615</v>
      </c>
      <c r="H50" s="107">
        <f t="shared" ref="H50:AK50" si="11">H$39*$R16</f>
        <v>2831707.4561448744</v>
      </c>
      <c r="I50" s="107">
        <f t="shared" si="11"/>
        <v>2831707.4561448744</v>
      </c>
      <c r="J50" s="107">
        <f t="shared" si="11"/>
        <v>2831707.4561448744</v>
      </c>
      <c r="K50" s="107">
        <f t="shared" si="11"/>
        <v>2831707.4561448744</v>
      </c>
      <c r="L50" s="107">
        <f t="shared" si="11"/>
        <v>2831707.4561448744</v>
      </c>
      <c r="M50" s="107">
        <f t="shared" si="11"/>
        <v>2831707.4561448744</v>
      </c>
      <c r="N50" s="107">
        <f t="shared" si="11"/>
        <v>2831707.4561448744</v>
      </c>
      <c r="O50" s="107">
        <f t="shared" si="11"/>
        <v>2831707.4561448744</v>
      </c>
      <c r="P50" s="107">
        <f t="shared" si="11"/>
        <v>2831707.4561448744</v>
      </c>
      <c r="Q50" s="107">
        <f t="shared" si="11"/>
        <v>2831707.4561448744</v>
      </c>
      <c r="R50" s="107">
        <f t="shared" si="11"/>
        <v>2831707.4561448744</v>
      </c>
      <c r="S50" s="107">
        <f t="shared" si="11"/>
        <v>2831707.4561448744</v>
      </c>
      <c r="T50" s="107">
        <f t="shared" si="11"/>
        <v>2831707.4561448744</v>
      </c>
      <c r="U50" s="107">
        <f t="shared" si="11"/>
        <v>2831707.4561448744</v>
      </c>
      <c r="V50" s="107">
        <f t="shared" si="11"/>
        <v>2831707.4561448744</v>
      </c>
      <c r="W50" s="107">
        <f t="shared" si="11"/>
        <v>2831707.4561448744</v>
      </c>
      <c r="X50" s="107">
        <f t="shared" si="11"/>
        <v>2831707.4561448744</v>
      </c>
      <c r="Y50" s="107">
        <f t="shared" si="11"/>
        <v>2831707.4561448744</v>
      </c>
      <c r="Z50" s="107">
        <f t="shared" si="11"/>
        <v>2831707.4561448744</v>
      </c>
      <c r="AA50" s="107">
        <f t="shared" si="11"/>
        <v>2831707.4561448744</v>
      </c>
      <c r="AB50" s="107">
        <f t="shared" si="11"/>
        <v>2831707.4561448744</v>
      </c>
      <c r="AC50" s="107">
        <f t="shared" si="11"/>
        <v>2831707.4561448744</v>
      </c>
      <c r="AD50" s="107">
        <f t="shared" si="11"/>
        <v>2831707.4561448744</v>
      </c>
      <c r="AE50" s="107">
        <f t="shared" si="11"/>
        <v>2831707.4561448744</v>
      </c>
      <c r="AF50" s="107">
        <f t="shared" si="11"/>
        <v>2831707.4561448744</v>
      </c>
      <c r="AG50" s="107">
        <f t="shared" si="11"/>
        <v>2831707.4561448744</v>
      </c>
      <c r="AH50" s="107">
        <f t="shared" si="11"/>
        <v>2831707.4561448744</v>
      </c>
      <c r="AI50" s="107">
        <f t="shared" si="11"/>
        <v>2831707.4561448744</v>
      </c>
      <c r="AJ50" s="107">
        <f t="shared" si="11"/>
        <v>2831707.4561448744</v>
      </c>
      <c r="AK50" s="107">
        <f t="shared" si="11"/>
        <v>2831707.4561448744</v>
      </c>
    </row>
    <row r="51" spans="2:37">
      <c r="B51" s="102" t="s">
        <v>614</v>
      </c>
      <c r="H51" s="107">
        <f t="shared" ref="H51:AK51" si="12">H$39*$R17</f>
        <v>1460340.4331092497</v>
      </c>
      <c r="I51" s="107">
        <f t="shared" si="12"/>
        <v>1460340.4331092497</v>
      </c>
      <c r="J51" s="107">
        <f t="shared" si="12"/>
        <v>1460340.4331092497</v>
      </c>
      <c r="K51" s="107">
        <f t="shared" si="12"/>
        <v>1460340.4331092497</v>
      </c>
      <c r="L51" s="107">
        <f t="shared" si="12"/>
        <v>1460340.4331092497</v>
      </c>
      <c r="M51" s="107">
        <f t="shared" si="12"/>
        <v>1460340.4331092497</v>
      </c>
      <c r="N51" s="107">
        <f t="shared" si="12"/>
        <v>1460340.4331092497</v>
      </c>
      <c r="O51" s="107">
        <f t="shared" si="12"/>
        <v>1460340.4331092497</v>
      </c>
      <c r="P51" s="107">
        <f t="shared" si="12"/>
        <v>1460340.4331092497</v>
      </c>
      <c r="Q51" s="107">
        <f t="shared" si="12"/>
        <v>1460340.4331092497</v>
      </c>
      <c r="R51" s="107">
        <f t="shared" si="12"/>
        <v>1460340.4331092497</v>
      </c>
      <c r="S51" s="107">
        <f t="shared" si="12"/>
        <v>1460340.4331092497</v>
      </c>
      <c r="T51" s="107">
        <f t="shared" si="12"/>
        <v>1460340.4331092497</v>
      </c>
      <c r="U51" s="107">
        <f t="shared" si="12"/>
        <v>1460340.4331092497</v>
      </c>
      <c r="V51" s="107">
        <f t="shared" si="12"/>
        <v>1460340.4331092497</v>
      </c>
      <c r="W51" s="107">
        <f t="shared" si="12"/>
        <v>1460340.4331092497</v>
      </c>
      <c r="X51" s="107">
        <f t="shared" si="12"/>
        <v>1460340.4331092497</v>
      </c>
      <c r="Y51" s="107">
        <f t="shared" si="12"/>
        <v>1460340.4331092497</v>
      </c>
      <c r="Z51" s="107">
        <f t="shared" si="12"/>
        <v>1460340.4331092497</v>
      </c>
      <c r="AA51" s="107">
        <f t="shared" si="12"/>
        <v>1460340.4331092497</v>
      </c>
      <c r="AB51" s="107">
        <f t="shared" si="12"/>
        <v>1460340.4331092497</v>
      </c>
      <c r="AC51" s="107">
        <f t="shared" si="12"/>
        <v>1460340.4331092497</v>
      </c>
      <c r="AD51" s="107">
        <f t="shared" si="12"/>
        <v>1460340.4331092497</v>
      </c>
      <c r="AE51" s="107">
        <f t="shared" si="12"/>
        <v>1460340.4331092497</v>
      </c>
      <c r="AF51" s="107">
        <f t="shared" si="12"/>
        <v>1460340.4331092497</v>
      </c>
      <c r="AG51" s="107">
        <f t="shared" si="12"/>
        <v>1460340.4331092497</v>
      </c>
      <c r="AH51" s="107">
        <f t="shared" si="12"/>
        <v>1460340.4331092497</v>
      </c>
      <c r="AI51" s="107">
        <f t="shared" si="12"/>
        <v>1460340.4331092497</v>
      </c>
      <c r="AJ51" s="107">
        <f t="shared" si="12"/>
        <v>1460340.4331092497</v>
      </c>
      <c r="AK51" s="107">
        <f t="shared" si="12"/>
        <v>1460340.4331092497</v>
      </c>
    </row>
    <row r="52" spans="2:37">
      <c r="B52" s="102" t="s">
        <v>613</v>
      </c>
      <c r="H52" s="107">
        <f t="shared" ref="H52:AK52" si="13">H$39*$R18</f>
        <v>159563.88418162495</v>
      </c>
      <c r="I52" s="107">
        <f t="shared" si="13"/>
        <v>159563.88418162495</v>
      </c>
      <c r="J52" s="107">
        <f t="shared" si="13"/>
        <v>159563.88418162495</v>
      </c>
      <c r="K52" s="107">
        <f t="shared" si="13"/>
        <v>159563.88418162495</v>
      </c>
      <c r="L52" s="107">
        <f t="shared" si="13"/>
        <v>159563.88418162495</v>
      </c>
      <c r="M52" s="107">
        <f t="shared" si="13"/>
        <v>159563.88418162495</v>
      </c>
      <c r="N52" s="107">
        <f t="shared" si="13"/>
        <v>159563.88418162495</v>
      </c>
      <c r="O52" s="107">
        <f t="shared" si="13"/>
        <v>159563.88418162495</v>
      </c>
      <c r="P52" s="107">
        <f t="shared" si="13"/>
        <v>159563.88418162495</v>
      </c>
      <c r="Q52" s="107">
        <f t="shared" si="13"/>
        <v>159563.88418162495</v>
      </c>
      <c r="R52" s="107">
        <f t="shared" si="13"/>
        <v>159563.88418162495</v>
      </c>
      <c r="S52" s="107">
        <f t="shared" si="13"/>
        <v>159563.88418162495</v>
      </c>
      <c r="T52" s="107">
        <f t="shared" si="13"/>
        <v>159563.88418162495</v>
      </c>
      <c r="U52" s="107">
        <f t="shared" si="13"/>
        <v>159563.88418162495</v>
      </c>
      <c r="V52" s="107">
        <f t="shared" si="13"/>
        <v>159563.88418162495</v>
      </c>
      <c r="W52" s="107">
        <f t="shared" si="13"/>
        <v>159563.88418162495</v>
      </c>
      <c r="X52" s="107">
        <f t="shared" si="13"/>
        <v>159563.88418162495</v>
      </c>
      <c r="Y52" s="107">
        <f t="shared" si="13"/>
        <v>159563.88418162495</v>
      </c>
      <c r="Z52" s="107">
        <f t="shared" si="13"/>
        <v>159563.88418162495</v>
      </c>
      <c r="AA52" s="107">
        <f t="shared" si="13"/>
        <v>159563.88418162495</v>
      </c>
      <c r="AB52" s="107">
        <f t="shared" si="13"/>
        <v>159563.88418162495</v>
      </c>
      <c r="AC52" s="107">
        <f t="shared" si="13"/>
        <v>159563.88418162495</v>
      </c>
      <c r="AD52" s="107">
        <f t="shared" si="13"/>
        <v>159563.88418162495</v>
      </c>
      <c r="AE52" s="107">
        <f t="shared" si="13"/>
        <v>159563.88418162495</v>
      </c>
      <c r="AF52" s="107">
        <f t="shared" si="13"/>
        <v>159563.88418162495</v>
      </c>
      <c r="AG52" s="107">
        <f t="shared" si="13"/>
        <v>159563.88418162495</v>
      </c>
      <c r="AH52" s="107">
        <f t="shared" si="13"/>
        <v>159563.88418162495</v>
      </c>
      <c r="AI52" s="107">
        <f t="shared" si="13"/>
        <v>159563.88418162495</v>
      </c>
      <c r="AJ52" s="107">
        <f t="shared" si="13"/>
        <v>159563.88418162495</v>
      </c>
      <c r="AK52" s="107">
        <f t="shared" si="13"/>
        <v>159563.88418162495</v>
      </c>
    </row>
    <row r="53" spans="2:37">
      <c r="B53" s="111" t="s">
        <v>414</v>
      </c>
      <c r="C53" s="111"/>
      <c r="D53" s="111"/>
      <c r="E53" s="111"/>
      <c r="F53" s="111"/>
      <c r="G53" s="111"/>
      <c r="H53" s="112">
        <f>SUM(H50:H52)</f>
        <v>4451611.7734357491</v>
      </c>
      <c r="I53" s="112">
        <f t="shared" ref="I53:AK53" si="14">SUM(I50:I52)</f>
        <v>4451611.7734357491</v>
      </c>
      <c r="J53" s="112">
        <f t="shared" si="14"/>
        <v>4451611.7734357491</v>
      </c>
      <c r="K53" s="112">
        <f t="shared" si="14"/>
        <v>4451611.7734357491</v>
      </c>
      <c r="L53" s="112">
        <f t="shared" si="14"/>
        <v>4451611.7734357491</v>
      </c>
      <c r="M53" s="112">
        <f t="shared" si="14"/>
        <v>4451611.7734357491</v>
      </c>
      <c r="N53" s="112">
        <f t="shared" si="14"/>
        <v>4451611.7734357491</v>
      </c>
      <c r="O53" s="112">
        <f t="shared" si="14"/>
        <v>4451611.7734357491</v>
      </c>
      <c r="P53" s="112">
        <f t="shared" si="14"/>
        <v>4451611.7734357491</v>
      </c>
      <c r="Q53" s="112">
        <f t="shared" si="14"/>
        <v>4451611.7734357491</v>
      </c>
      <c r="R53" s="112">
        <f t="shared" si="14"/>
        <v>4451611.7734357491</v>
      </c>
      <c r="S53" s="112">
        <f t="shared" si="14"/>
        <v>4451611.7734357491</v>
      </c>
      <c r="T53" s="112">
        <f t="shared" si="14"/>
        <v>4451611.7734357491</v>
      </c>
      <c r="U53" s="112">
        <f t="shared" si="14"/>
        <v>4451611.7734357491</v>
      </c>
      <c r="V53" s="112">
        <f t="shared" si="14"/>
        <v>4451611.7734357491</v>
      </c>
      <c r="W53" s="112">
        <f t="shared" si="14"/>
        <v>4451611.7734357491</v>
      </c>
      <c r="X53" s="112">
        <f t="shared" si="14"/>
        <v>4451611.7734357491</v>
      </c>
      <c r="Y53" s="112">
        <f t="shared" si="14"/>
        <v>4451611.7734357491</v>
      </c>
      <c r="Z53" s="112">
        <f t="shared" si="14"/>
        <v>4451611.7734357491</v>
      </c>
      <c r="AA53" s="112">
        <f t="shared" si="14"/>
        <v>4451611.7734357491</v>
      </c>
      <c r="AB53" s="112">
        <f t="shared" si="14"/>
        <v>4451611.7734357491</v>
      </c>
      <c r="AC53" s="112">
        <f t="shared" si="14"/>
        <v>4451611.7734357491</v>
      </c>
      <c r="AD53" s="112">
        <f t="shared" si="14"/>
        <v>4451611.7734357491</v>
      </c>
      <c r="AE53" s="112">
        <f t="shared" si="14"/>
        <v>4451611.7734357491</v>
      </c>
      <c r="AF53" s="112">
        <f t="shared" si="14"/>
        <v>4451611.7734357491</v>
      </c>
      <c r="AG53" s="112">
        <f t="shared" si="14"/>
        <v>4451611.7734357491</v>
      </c>
      <c r="AH53" s="112">
        <f t="shared" si="14"/>
        <v>4451611.7734357491</v>
      </c>
      <c r="AI53" s="112">
        <f t="shared" si="14"/>
        <v>4451611.7734357491</v>
      </c>
      <c r="AJ53" s="112">
        <f t="shared" si="14"/>
        <v>4451611.7734357491</v>
      </c>
      <c r="AK53" s="112">
        <f t="shared" si="14"/>
        <v>4451611.7734357491</v>
      </c>
    </row>
    <row r="55" spans="2:37">
      <c r="B55" s="161" t="s">
        <v>617</v>
      </c>
    </row>
    <row r="56" spans="2:37">
      <c r="B56" s="102" t="s">
        <v>618</v>
      </c>
      <c r="H56" s="107">
        <f t="shared" ref="H56:AK56" si="15">H$39*$R21</f>
        <v>1266951.9467508749</v>
      </c>
      <c r="I56" s="107">
        <f t="shared" si="15"/>
        <v>1266951.9467508749</v>
      </c>
      <c r="J56" s="107">
        <f t="shared" si="15"/>
        <v>1266951.9467508749</v>
      </c>
      <c r="K56" s="107">
        <f t="shared" si="15"/>
        <v>1266951.9467508749</v>
      </c>
      <c r="L56" s="107">
        <f t="shared" si="15"/>
        <v>1266951.9467508749</v>
      </c>
      <c r="M56" s="107">
        <f t="shared" si="15"/>
        <v>1266951.9467508749</v>
      </c>
      <c r="N56" s="107">
        <f t="shared" si="15"/>
        <v>1266951.9467508749</v>
      </c>
      <c r="O56" s="107">
        <f t="shared" si="15"/>
        <v>1266951.9467508749</v>
      </c>
      <c r="P56" s="107">
        <f t="shared" si="15"/>
        <v>1266951.9467508749</v>
      </c>
      <c r="Q56" s="107">
        <f t="shared" si="15"/>
        <v>1266951.9467508749</v>
      </c>
      <c r="R56" s="107">
        <f t="shared" si="15"/>
        <v>1266951.9467508749</v>
      </c>
      <c r="S56" s="107">
        <f t="shared" si="15"/>
        <v>1266951.9467508749</v>
      </c>
      <c r="T56" s="107">
        <f t="shared" si="15"/>
        <v>1266951.9467508749</v>
      </c>
      <c r="U56" s="107">
        <f t="shared" si="15"/>
        <v>1266951.9467508749</v>
      </c>
      <c r="V56" s="107">
        <f t="shared" si="15"/>
        <v>1266951.9467508749</v>
      </c>
      <c r="W56" s="107">
        <f t="shared" si="15"/>
        <v>1266951.9467508749</v>
      </c>
      <c r="X56" s="107">
        <f t="shared" si="15"/>
        <v>1266951.9467508749</v>
      </c>
      <c r="Y56" s="107">
        <f t="shared" si="15"/>
        <v>1266951.9467508749</v>
      </c>
      <c r="Z56" s="107">
        <f t="shared" si="15"/>
        <v>1266951.9467508749</v>
      </c>
      <c r="AA56" s="107">
        <f t="shared" si="15"/>
        <v>1266951.9467508749</v>
      </c>
      <c r="AB56" s="107">
        <f t="shared" si="15"/>
        <v>1266951.9467508749</v>
      </c>
      <c r="AC56" s="107">
        <f t="shared" si="15"/>
        <v>1266951.9467508749</v>
      </c>
      <c r="AD56" s="107">
        <f t="shared" si="15"/>
        <v>1266951.9467508749</v>
      </c>
      <c r="AE56" s="107">
        <f t="shared" si="15"/>
        <v>1266951.9467508749</v>
      </c>
      <c r="AF56" s="107">
        <f t="shared" si="15"/>
        <v>1266951.9467508749</v>
      </c>
      <c r="AG56" s="107">
        <f t="shared" si="15"/>
        <v>1266951.9467508749</v>
      </c>
      <c r="AH56" s="107">
        <f t="shared" si="15"/>
        <v>1266951.9467508749</v>
      </c>
      <c r="AI56" s="107">
        <f t="shared" si="15"/>
        <v>1266951.9467508749</v>
      </c>
      <c r="AJ56" s="107">
        <f t="shared" si="15"/>
        <v>1266951.9467508749</v>
      </c>
      <c r="AK56" s="107">
        <f t="shared" si="15"/>
        <v>1266951.9467508749</v>
      </c>
    </row>
    <row r="57" spans="2:37">
      <c r="B57" s="102" t="s">
        <v>619</v>
      </c>
      <c r="H57" s="107">
        <f t="shared" ref="H57:AK57" si="16">H$39*$R22</f>
        <v>1018414.6524956248</v>
      </c>
      <c r="I57" s="107">
        <f t="shared" si="16"/>
        <v>1018414.6524956248</v>
      </c>
      <c r="J57" s="107">
        <f t="shared" si="16"/>
        <v>1018414.6524956248</v>
      </c>
      <c r="K57" s="107">
        <f t="shared" si="16"/>
        <v>1018414.6524956248</v>
      </c>
      <c r="L57" s="107">
        <f t="shared" si="16"/>
        <v>1018414.6524956248</v>
      </c>
      <c r="M57" s="107">
        <f t="shared" si="16"/>
        <v>1018414.6524956248</v>
      </c>
      <c r="N57" s="107">
        <f t="shared" si="16"/>
        <v>1018414.6524956248</v>
      </c>
      <c r="O57" s="107">
        <f t="shared" si="16"/>
        <v>1018414.6524956248</v>
      </c>
      <c r="P57" s="107">
        <f t="shared" si="16"/>
        <v>1018414.6524956248</v>
      </c>
      <c r="Q57" s="107">
        <f t="shared" si="16"/>
        <v>1018414.6524956248</v>
      </c>
      <c r="R57" s="107">
        <f t="shared" si="16"/>
        <v>1018414.6524956248</v>
      </c>
      <c r="S57" s="107">
        <f t="shared" si="16"/>
        <v>1018414.6524956248</v>
      </c>
      <c r="T57" s="107">
        <f t="shared" si="16"/>
        <v>1018414.6524956248</v>
      </c>
      <c r="U57" s="107">
        <f t="shared" si="16"/>
        <v>1018414.6524956248</v>
      </c>
      <c r="V57" s="107">
        <f t="shared" si="16"/>
        <v>1018414.6524956248</v>
      </c>
      <c r="W57" s="107">
        <f t="shared" si="16"/>
        <v>1018414.6524956248</v>
      </c>
      <c r="X57" s="107">
        <f t="shared" si="16"/>
        <v>1018414.6524956248</v>
      </c>
      <c r="Y57" s="107">
        <f t="shared" si="16"/>
        <v>1018414.6524956248</v>
      </c>
      <c r="Z57" s="107">
        <f t="shared" si="16"/>
        <v>1018414.6524956248</v>
      </c>
      <c r="AA57" s="107">
        <f t="shared" si="16"/>
        <v>1018414.6524956248</v>
      </c>
      <c r="AB57" s="107">
        <f t="shared" si="16"/>
        <v>1018414.6524956248</v>
      </c>
      <c r="AC57" s="107">
        <f t="shared" si="16"/>
        <v>1018414.6524956248</v>
      </c>
      <c r="AD57" s="107">
        <f t="shared" si="16"/>
        <v>1018414.6524956248</v>
      </c>
      <c r="AE57" s="107">
        <f t="shared" si="16"/>
        <v>1018414.6524956248</v>
      </c>
      <c r="AF57" s="107">
        <f t="shared" si="16"/>
        <v>1018414.6524956248</v>
      </c>
      <c r="AG57" s="107">
        <f t="shared" si="16"/>
        <v>1018414.6524956248</v>
      </c>
      <c r="AH57" s="107">
        <f t="shared" si="16"/>
        <v>1018414.6524956248</v>
      </c>
      <c r="AI57" s="107">
        <f t="shared" si="16"/>
        <v>1018414.6524956248</v>
      </c>
      <c r="AJ57" s="107">
        <f t="shared" si="16"/>
        <v>1018414.6524956248</v>
      </c>
      <c r="AK57" s="107">
        <f t="shared" si="16"/>
        <v>1018414.6524956248</v>
      </c>
    </row>
    <row r="58" spans="2:37">
      <c r="B58" s="102" t="s">
        <v>620</v>
      </c>
      <c r="H58" s="107">
        <f t="shared" ref="H58:AK58" si="17">H$39*$R23</f>
        <v>175740.86783137498</v>
      </c>
      <c r="I58" s="107">
        <f t="shared" si="17"/>
        <v>175740.86783137498</v>
      </c>
      <c r="J58" s="107">
        <f t="shared" si="17"/>
        <v>175740.86783137498</v>
      </c>
      <c r="K58" s="107">
        <f t="shared" si="17"/>
        <v>175740.86783137498</v>
      </c>
      <c r="L58" s="107">
        <f t="shared" si="17"/>
        <v>175740.86783137498</v>
      </c>
      <c r="M58" s="107">
        <f t="shared" si="17"/>
        <v>175740.86783137498</v>
      </c>
      <c r="N58" s="107">
        <f t="shared" si="17"/>
        <v>175740.86783137498</v>
      </c>
      <c r="O58" s="107">
        <f t="shared" si="17"/>
        <v>175740.86783137498</v>
      </c>
      <c r="P58" s="107">
        <f t="shared" si="17"/>
        <v>175740.86783137498</v>
      </c>
      <c r="Q58" s="107">
        <f t="shared" si="17"/>
        <v>175740.86783137498</v>
      </c>
      <c r="R58" s="107">
        <f t="shared" si="17"/>
        <v>175740.86783137498</v>
      </c>
      <c r="S58" s="107">
        <f t="shared" si="17"/>
        <v>175740.86783137498</v>
      </c>
      <c r="T58" s="107">
        <f t="shared" si="17"/>
        <v>175740.86783137498</v>
      </c>
      <c r="U58" s="107">
        <f t="shared" si="17"/>
        <v>175740.86783137498</v>
      </c>
      <c r="V58" s="107">
        <f t="shared" si="17"/>
        <v>175740.86783137498</v>
      </c>
      <c r="W58" s="107">
        <f t="shared" si="17"/>
        <v>175740.86783137498</v>
      </c>
      <c r="X58" s="107">
        <f t="shared" si="17"/>
        <v>175740.86783137498</v>
      </c>
      <c r="Y58" s="107">
        <f t="shared" si="17"/>
        <v>175740.86783137498</v>
      </c>
      <c r="Z58" s="107">
        <f t="shared" si="17"/>
        <v>175740.86783137498</v>
      </c>
      <c r="AA58" s="107">
        <f t="shared" si="17"/>
        <v>175740.86783137498</v>
      </c>
      <c r="AB58" s="107">
        <f t="shared" si="17"/>
        <v>175740.86783137498</v>
      </c>
      <c r="AC58" s="107">
        <f t="shared" si="17"/>
        <v>175740.86783137498</v>
      </c>
      <c r="AD58" s="107">
        <f t="shared" si="17"/>
        <v>175740.86783137498</v>
      </c>
      <c r="AE58" s="107">
        <f t="shared" si="17"/>
        <v>175740.86783137498</v>
      </c>
      <c r="AF58" s="107">
        <f t="shared" si="17"/>
        <v>175740.86783137498</v>
      </c>
      <c r="AG58" s="107">
        <f t="shared" si="17"/>
        <v>175740.86783137498</v>
      </c>
      <c r="AH58" s="107">
        <f t="shared" si="17"/>
        <v>175740.86783137498</v>
      </c>
      <c r="AI58" s="107">
        <f t="shared" si="17"/>
        <v>175740.86783137498</v>
      </c>
      <c r="AJ58" s="107">
        <f t="shared" si="17"/>
        <v>175740.86783137498</v>
      </c>
      <c r="AK58" s="107">
        <f t="shared" si="17"/>
        <v>175740.86783137498</v>
      </c>
    </row>
    <row r="59" spans="2:37">
      <c r="B59" s="102" t="s">
        <v>621</v>
      </c>
      <c r="H59" s="107">
        <f t="shared" ref="H59:AK59" si="18">H$39*$R24</f>
        <v>557370.61847774987</v>
      </c>
      <c r="I59" s="107">
        <f t="shared" si="18"/>
        <v>557370.61847774987</v>
      </c>
      <c r="J59" s="107">
        <f t="shared" si="18"/>
        <v>557370.61847774987</v>
      </c>
      <c r="K59" s="107">
        <f t="shared" si="18"/>
        <v>557370.61847774987</v>
      </c>
      <c r="L59" s="107">
        <f t="shared" si="18"/>
        <v>557370.61847774987</v>
      </c>
      <c r="M59" s="107">
        <f t="shared" si="18"/>
        <v>557370.61847774987</v>
      </c>
      <c r="N59" s="107">
        <f t="shared" si="18"/>
        <v>557370.61847774987</v>
      </c>
      <c r="O59" s="107">
        <f t="shared" si="18"/>
        <v>557370.61847774987</v>
      </c>
      <c r="P59" s="107">
        <f t="shared" si="18"/>
        <v>557370.61847774987</v>
      </c>
      <c r="Q59" s="107">
        <f t="shared" si="18"/>
        <v>557370.61847774987</v>
      </c>
      <c r="R59" s="107">
        <f t="shared" si="18"/>
        <v>557370.61847774987</v>
      </c>
      <c r="S59" s="107">
        <f t="shared" si="18"/>
        <v>557370.61847774987</v>
      </c>
      <c r="T59" s="107">
        <f t="shared" si="18"/>
        <v>557370.61847774987</v>
      </c>
      <c r="U59" s="107">
        <f t="shared" si="18"/>
        <v>557370.61847774987</v>
      </c>
      <c r="V59" s="107">
        <f t="shared" si="18"/>
        <v>557370.61847774987</v>
      </c>
      <c r="W59" s="107">
        <f t="shared" si="18"/>
        <v>557370.61847774987</v>
      </c>
      <c r="X59" s="107">
        <f t="shared" si="18"/>
        <v>557370.61847774987</v>
      </c>
      <c r="Y59" s="107">
        <f t="shared" si="18"/>
        <v>557370.61847774987</v>
      </c>
      <c r="Z59" s="107">
        <f t="shared" si="18"/>
        <v>557370.61847774987</v>
      </c>
      <c r="AA59" s="107">
        <f t="shared" si="18"/>
        <v>557370.61847774987</v>
      </c>
      <c r="AB59" s="107">
        <f t="shared" si="18"/>
        <v>557370.61847774987</v>
      </c>
      <c r="AC59" s="107">
        <f t="shared" si="18"/>
        <v>557370.61847774987</v>
      </c>
      <c r="AD59" s="107">
        <f t="shared" si="18"/>
        <v>557370.61847774987</v>
      </c>
      <c r="AE59" s="107">
        <f t="shared" si="18"/>
        <v>557370.61847774987</v>
      </c>
      <c r="AF59" s="107">
        <f t="shared" si="18"/>
        <v>557370.61847774987</v>
      </c>
      <c r="AG59" s="107">
        <f t="shared" si="18"/>
        <v>557370.61847774987</v>
      </c>
      <c r="AH59" s="107">
        <f t="shared" si="18"/>
        <v>557370.61847774987</v>
      </c>
      <c r="AI59" s="107">
        <f t="shared" si="18"/>
        <v>557370.61847774987</v>
      </c>
      <c r="AJ59" s="107">
        <f t="shared" si="18"/>
        <v>557370.61847774987</v>
      </c>
      <c r="AK59" s="107">
        <f t="shared" si="18"/>
        <v>557370.61847774987</v>
      </c>
    </row>
    <row r="60" spans="2:37">
      <c r="B60" s="102" t="s">
        <v>36</v>
      </c>
      <c r="H60" s="107">
        <f t="shared" ref="H60:AK60" si="19">H$39*$R25</f>
        <v>374276.57626012492</v>
      </c>
      <c r="I60" s="107">
        <f t="shared" si="19"/>
        <v>374276.57626012492</v>
      </c>
      <c r="J60" s="107">
        <f t="shared" si="19"/>
        <v>374276.57626012492</v>
      </c>
      <c r="K60" s="107">
        <f t="shared" si="19"/>
        <v>374276.57626012492</v>
      </c>
      <c r="L60" s="107">
        <f t="shared" si="19"/>
        <v>374276.57626012492</v>
      </c>
      <c r="M60" s="107">
        <f t="shared" si="19"/>
        <v>374276.57626012492</v>
      </c>
      <c r="N60" s="107">
        <f t="shared" si="19"/>
        <v>374276.57626012492</v>
      </c>
      <c r="O60" s="107">
        <f t="shared" si="19"/>
        <v>374276.57626012492</v>
      </c>
      <c r="P60" s="107">
        <f t="shared" si="19"/>
        <v>374276.57626012492</v>
      </c>
      <c r="Q60" s="107">
        <f t="shared" si="19"/>
        <v>374276.57626012492</v>
      </c>
      <c r="R60" s="107">
        <f t="shared" si="19"/>
        <v>374276.57626012492</v>
      </c>
      <c r="S60" s="107">
        <f t="shared" si="19"/>
        <v>374276.57626012492</v>
      </c>
      <c r="T60" s="107">
        <f t="shared" si="19"/>
        <v>374276.57626012492</v>
      </c>
      <c r="U60" s="107">
        <f t="shared" si="19"/>
        <v>374276.57626012492</v>
      </c>
      <c r="V60" s="107">
        <f t="shared" si="19"/>
        <v>374276.57626012492</v>
      </c>
      <c r="W60" s="107">
        <f t="shared" si="19"/>
        <v>374276.57626012492</v>
      </c>
      <c r="X60" s="107">
        <f t="shared" si="19"/>
        <v>374276.57626012492</v>
      </c>
      <c r="Y60" s="107">
        <f t="shared" si="19"/>
        <v>374276.57626012492</v>
      </c>
      <c r="Z60" s="107">
        <f t="shared" si="19"/>
        <v>374276.57626012492</v>
      </c>
      <c r="AA60" s="107">
        <f t="shared" si="19"/>
        <v>374276.57626012492</v>
      </c>
      <c r="AB60" s="107">
        <f t="shared" si="19"/>
        <v>374276.57626012492</v>
      </c>
      <c r="AC60" s="107">
        <f t="shared" si="19"/>
        <v>374276.57626012492</v>
      </c>
      <c r="AD60" s="107">
        <f t="shared" si="19"/>
        <v>374276.57626012492</v>
      </c>
      <c r="AE60" s="107">
        <f t="shared" si="19"/>
        <v>374276.57626012492</v>
      </c>
      <c r="AF60" s="107">
        <f t="shared" si="19"/>
        <v>374276.57626012492</v>
      </c>
      <c r="AG60" s="107">
        <f t="shared" si="19"/>
        <v>374276.57626012492</v>
      </c>
      <c r="AH60" s="107">
        <f t="shared" si="19"/>
        <v>374276.57626012492</v>
      </c>
      <c r="AI60" s="107">
        <f t="shared" si="19"/>
        <v>374276.57626012492</v>
      </c>
      <c r="AJ60" s="107">
        <f t="shared" si="19"/>
        <v>374276.57626012492</v>
      </c>
      <c r="AK60" s="107">
        <f t="shared" si="19"/>
        <v>374276.57626012492</v>
      </c>
    </row>
    <row r="61" spans="2:37">
      <c r="B61" s="102" t="s">
        <v>622</v>
      </c>
      <c r="H61" s="107">
        <f t="shared" ref="H61:AK61" si="20">H$39*$R26</f>
        <v>194859.12123562495</v>
      </c>
      <c r="I61" s="107">
        <f t="shared" si="20"/>
        <v>194859.12123562495</v>
      </c>
      <c r="J61" s="107">
        <f t="shared" si="20"/>
        <v>194859.12123562495</v>
      </c>
      <c r="K61" s="107">
        <f t="shared" si="20"/>
        <v>194859.12123562495</v>
      </c>
      <c r="L61" s="107">
        <f t="shared" si="20"/>
        <v>194859.12123562495</v>
      </c>
      <c r="M61" s="107">
        <f t="shared" si="20"/>
        <v>194859.12123562495</v>
      </c>
      <c r="N61" s="107">
        <f t="shared" si="20"/>
        <v>194859.12123562495</v>
      </c>
      <c r="O61" s="107">
        <f t="shared" si="20"/>
        <v>194859.12123562495</v>
      </c>
      <c r="P61" s="107">
        <f t="shared" si="20"/>
        <v>194859.12123562495</v>
      </c>
      <c r="Q61" s="107">
        <f t="shared" si="20"/>
        <v>194859.12123562495</v>
      </c>
      <c r="R61" s="107">
        <f t="shared" si="20"/>
        <v>194859.12123562495</v>
      </c>
      <c r="S61" s="107">
        <f t="shared" si="20"/>
        <v>194859.12123562495</v>
      </c>
      <c r="T61" s="107">
        <f t="shared" si="20"/>
        <v>194859.12123562495</v>
      </c>
      <c r="U61" s="107">
        <f t="shared" si="20"/>
        <v>194859.12123562495</v>
      </c>
      <c r="V61" s="107">
        <f t="shared" si="20"/>
        <v>194859.12123562495</v>
      </c>
      <c r="W61" s="107">
        <f t="shared" si="20"/>
        <v>194859.12123562495</v>
      </c>
      <c r="X61" s="107">
        <f t="shared" si="20"/>
        <v>194859.12123562495</v>
      </c>
      <c r="Y61" s="107">
        <f t="shared" si="20"/>
        <v>194859.12123562495</v>
      </c>
      <c r="Z61" s="107">
        <f t="shared" si="20"/>
        <v>194859.12123562495</v>
      </c>
      <c r="AA61" s="107">
        <f t="shared" si="20"/>
        <v>194859.12123562495</v>
      </c>
      <c r="AB61" s="107">
        <f t="shared" si="20"/>
        <v>194859.12123562495</v>
      </c>
      <c r="AC61" s="107">
        <f t="shared" si="20"/>
        <v>194859.12123562495</v>
      </c>
      <c r="AD61" s="107">
        <f t="shared" si="20"/>
        <v>194859.12123562495</v>
      </c>
      <c r="AE61" s="107">
        <f t="shared" si="20"/>
        <v>194859.12123562495</v>
      </c>
      <c r="AF61" s="107">
        <f t="shared" si="20"/>
        <v>194859.12123562495</v>
      </c>
      <c r="AG61" s="107">
        <f t="shared" si="20"/>
        <v>194859.12123562495</v>
      </c>
      <c r="AH61" s="107">
        <f t="shared" si="20"/>
        <v>194859.12123562495</v>
      </c>
      <c r="AI61" s="107">
        <f t="shared" si="20"/>
        <v>194859.12123562495</v>
      </c>
      <c r="AJ61" s="107">
        <f t="shared" si="20"/>
        <v>194859.12123562495</v>
      </c>
      <c r="AK61" s="107">
        <f t="shared" si="20"/>
        <v>194859.12123562495</v>
      </c>
    </row>
    <row r="62" spans="2:37">
      <c r="B62" s="111" t="s">
        <v>623</v>
      </c>
      <c r="C62" s="111"/>
      <c r="D62" s="111"/>
      <c r="E62" s="111"/>
      <c r="F62" s="111"/>
      <c r="G62" s="111"/>
      <c r="H62" s="112">
        <f>SUM(H56:H61)</f>
        <v>3587613.7830513739</v>
      </c>
      <c r="I62" s="112">
        <f t="shared" ref="I62:AK62" si="21">SUM(I56:I61)</f>
        <v>3587613.7830513739</v>
      </c>
      <c r="J62" s="112">
        <f t="shared" si="21"/>
        <v>3587613.7830513739</v>
      </c>
      <c r="K62" s="112">
        <f t="shared" si="21"/>
        <v>3587613.7830513739</v>
      </c>
      <c r="L62" s="112">
        <f t="shared" si="21"/>
        <v>3587613.7830513739</v>
      </c>
      <c r="M62" s="112">
        <f t="shared" si="21"/>
        <v>3587613.7830513739</v>
      </c>
      <c r="N62" s="112">
        <f t="shared" si="21"/>
        <v>3587613.7830513739</v>
      </c>
      <c r="O62" s="112">
        <f t="shared" si="21"/>
        <v>3587613.7830513739</v>
      </c>
      <c r="P62" s="112">
        <f t="shared" si="21"/>
        <v>3587613.7830513739</v>
      </c>
      <c r="Q62" s="112">
        <f t="shared" si="21"/>
        <v>3587613.7830513739</v>
      </c>
      <c r="R62" s="112">
        <f t="shared" si="21"/>
        <v>3587613.7830513739</v>
      </c>
      <c r="S62" s="112">
        <f t="shared" si="21"/>
        <v>3587613.7830513739</v>
      </c>
      <c r="T62" s="112">
        <f t="shared" si="21"/>
        <v>3587613.7830513739</v>
      </c>
      <c r="U62" s="112">
        <f t="shared" si="21"/>
        <v>3587613.7830513739</v>
      </c>
      <c r="V62" s="112">
        <f t="shared" si="21"/>
        <v>3587613.7830513739</v>
      </c>
      <c r="W62" s="112">
        <f t="shared" si="21"/>
        <v>3587613.7830513739</v>
      </c>
      <c r="X62" s="112">
        <f t="shared" si="21"/>
        <v>3587613.7830513739</v>
      </c>
      <c r="Y62" s="112">
        <f t="shared" si="21"/>
        <v>3587613.7830513739</v>
      </c>
      <c r="Z62" s="112">
        <f t="shared" si="21"/>
        <v>3587613.7830513739</v>
      </c>
      <c r="AA62" s="112">
        <f t="shared" si="21"/>
        <v>3587613.7830513739</v>
      </c>
      <c r="AB62" s="112">
        <f t="shared" si="21"/>
        <v>3587613.7830513739</v>
      </c>
      <c r="AC62" s="112">
        <f t="shared" si="21"/>
        <v>3587613.7830513739</v>
      </c>
      <c r="AD62" s="112">
        <f t="shared" si="21"/>
        <v>3587613.7830513739</v>
      </c>
      <c r="AE62" s="112">
        <f t="shared" si="21"/>
        <v>3587613.7830513739</v>
      </c>
      <c r="AF62" s="112">
        <f t="shared" si="21"/>
        <v>3587613.7830513739</v>
      </c>
      <c r="AG62" s="112">
        <f t="shared" si="21"/>
        <v>3587613.7830513739</v>
      </c>
      <c r="AH62" s="112">
        <f t="shared" si="21"/>
        <v>3587613.7830513739</v>
      </c>
      <c r="AI62" s="112">
        <f t="shared" si="21"/>
        <v>3587613.7830513739</v>
      </c>
      <c r="AJ62" s="112">
        <f t="shared" si="21"/>
        <v>3587613.7830513739</v>
      </c>
      <c r="AK62" s="112">
        <f t="shared" si="21"/>
        <v>3587613.7830513739</v>
      </c>
    </row>
    <row r="63" spans="2:37">
      <c r="B63" s="160"/>
    </row>
    <row r="64" spans="2:37">
      <c r="B64" s="102" t="s">
        <v>524</v>
      </c>
      <c r="H64" s="107">
        <f>H48-H53-H62</f>
        <v>3815845.8645263813</v>
      </c>
      <c r="I64" s="107">
        <f t="shared" ref="I64:AK64" si="22">I48-I53-I62</f>
        <v>4089869.6145263813</v>
      </c>
      <c r="J64" s="107">
        <f t="shared" si="22"/>
        <v>4372114.0770263821</v>
      </c>
      <c r="K64" s="107">
        <f t="shared" si="22"/>
        <v>4662825.8734013811</v>
      </c>
      <c r="L64" s="107">
        <f t="shared" si="22"/>
        <v>4962259.0236676298</v>
      </c>
      <c r="M64" s="107">
        <f t="shared" si="22"/>
        <v>5270675.1684418675</v>
      </c>
      <c r="N64" s="107">
        <f t="shared" si="22"/>
        <v>5588343.7975593321</v>
      </c>
      <c r="O64" s="107">
        <f t="shared" si="22"/>
        <v>5915542.4855503216</v>
      </c>
      <c r="P64" s="107">
        <f t="shared" si="22"/>
        <v>6252557.1341810394</v>
      </c>
      <c r="Q64" s="107">
        <f t="shared" si="22"/>
        <v>6599682.2222706769</v>
      </c>
      <c r="R64" s="107">
        <f t="shared" si="22"/>
        <v>6957221.0630030073</v>
      </c>
      <c r="S64" s="107">
        <f t="shared" si="22"/>
        <v>7325486.0689573064</v>
      </c>
      <c r="T64" s="107">
        <f t="shared" si="22"/>
        <v>7704799.0250902325</v>
      </c>
      <c r="U64" s="107">
        <f t="shared" si="22"/>
        <v>8095491.3699071463</v>
      </c>
      <c r="V64" s="107">
        <f t="shared" si="22"/>
        <v>8497904.485068569</v>
      </c>
      <c r="W64" s="107">
        <f t="shared" si="22"/>
        <v>8912389.9936848376</v>
      </c>
      <c r="X64" s="107">
        <f t="shared" si="22"/>
        <v>9339310.0675595906</v>
      </c>
      <c r="Y64" s="107">
        <f t="shared" si="22"/>
        <v>9779037.7436505836</v>
      </c>
      <c r="Z64" s="107">
        <f t="shared" si="22"/>
        <v>10231957.250024313</v>
      </c>
      <c r="AA64" s="107">
        <f t="shared" si="22"/>
        <v>10698464.341589252</v>
      </c>
      <c r="AB64" s="107">
        <f t="shared" si="22"/>
        <v>11178966.645901138</v>
      </c>
      <c r="AC64" s="107">
        <f t="shared" si="22"/>
        <v>11673884.019342376</v>
      </c>
      <c r="AD64" s="107">
        <f t="shared" si="22"/>
        <v>12183648.913986856</v>
      </c>
      <c r="AE64" s="107">
        <f t="shared" si="22"/>
        <v>12708706.755470673</v>
      </c>
      <c r="AF64" s="107">
        <f t="shared" si="22"/>
        <v>13249516.332199002</v>
      </c>
      <c r="AG64" s="107">
        <f t="shared" si="22"/>
        <v>13806550.196229177</v>
      </c>
      <c r="AH64" s="107">
        <f t="shared" si="22"/>
        <v>14380295.076180262</v>
      </c>
      <c r="AI64" s="107">
        <f t="shared" si="22"/>
        <v>14971252.302529877</v>
      </c>
      <c r="AJ64" s="107">
        <f t="shared" si="22"/>
        <v>15579938.245669981</v>
      </c>
      <c r="AK64" s="107">
        <f t="shared" si="22"/>
        <v>16206884.767104292</v>
      </c>
    </row>
    <row r="67" spans="2:37">
      <c r="B67" s="102" t="s">
        <v>6</v>
      </c>
      <c r="G67" s="107">
        <f t="shared" ref="G67:AK67" ca="1" si="23">IF(G35&lt;=$G$25+1,G36+G64,0)</f>
        <v>-48964098.555394463</v>
      </c>
      <c r="H67" s="107">
        <f t="shared" si="23"/>
        <v>3815845.8645263813</v>
      </c>
      <c r="I67" s="107">
        <f t="shared" si="23"/>
        <v>4089869.6145263813</v>
      </c>
      <c r="J67" s="107">
        <f t="shared" si="23"/>
        <v>4372114.0770263821</v>
      </c>
      <c r="K67" s="107">
        <f t="shared" si="23"/>
        <v>4662825.8734013811</v>
      </c>
      <c r="L67" s="107">
        <f t="shared" si="23"/>
        <v>4962259.0236676298</v>
      </c>
      <c r="M67" s="107">
        <f t="shared" si="23"/>
        <v>5270675.1684418675</v>
      </c>
      <c r="N67" s="107">
        <f t="shared" si="23"/>
        <v>5588343.7975593321</v>
      </c>
      <c r="O67" s="107">
        <f t="shared" si="23"/>
        <v>5915542.4855503216</v>
      </c>
      <c r="P67" s="107">
        <f t="shared" si="23"/>
        <v>6252557.1341810394</v>
      </c>
      <c r="Q67" s="107">
        <f t="shared" si="23"/>
        <v>6599682.2222706769</v>
      </c>
      <c r="R67" s="107">
        <f t="shared" si="23"/>
        <v>6957221.0630030073</v>
      </c>
      <c r="S67" s="107">
        <f t="shared" si="23"/>
        <v>0</v>
      </c>
      <c r="T67" s="107">
        <f t="shared" si="23"/>
        <v>0</v>
      </c>
      <c r="U67" s="107">
        <f t="shared" si="23"/>
        <v>0</v>
      </c>
      <c r="V67" s="107">
        <f t="shared" si="23"/>
        <v>0</v>
      </c>
      <c r="W67" s="107">
        <f t="shared" si="23"/>
        <v>0</v>
      </c>
      <c r="X67" s="107">
        <f t="shared" si="23"/>
        <v>0</v>
      </c>
      <c r="Y67" s="107">
        <f t="shared" si="23"/>
        <v>0</v>
      </c>
      <c r="Z67" s="107">
        <f t="shared" si="23"/>
        <v>0</v>
      </c>
      <c r="AA67" s="107">
        <f t="shared" si="23"/>
        <v>0</v>
      </c>
      <c r="AB67" s="107">
        <f t="shared" si="23"/>
        <v>0</v>
      </c>
      <c r="AC67" s="107">
        <f t="shared" si="23"/>
        <v>0</v>
      </c>
      <c r="AD67" s="107">
        <f t="shared" si="23"/>
        <v>0</v>
      </c>
      <c r="AE67" s="107">
        <f t="shared" si="23"/>
        <v>0</v>
      </c>
      <c r="AF67" s="107">
        <f t="shared" si="23"/>
        <v>0</v>
      </c>
      <c r="AG67" s="107">
        <f t="shared" si="23"/>
        <v>0</v>
      </c>
      <c r="AH67" s="107">
        <f t="shared" si="23"/>
        <v>0</v>
      </c>
      <c r="AI67" s="107">
        <f t="shared" si="23"/>
        <v>0</v>
      </c>
      <c r="AJ67" s="107">
        <f t="shared" si="23"/>
        <v>0</v>
      </c>
      <c r="AK67" s="107">
        <f t="shared" si="23"/>
        <v>0</v>
      </c>
    </row>
    <row r="68" spans="2:37"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</row>
    <row r="69" spans="2:37">
      <c r="B69" s="102" t="s">
        <v>525</v>
      </c>
      <c r="H69" s="107">
        <f t="shared" ref="H69:AK69" si="24">IF(H35=$G$25,I67/$G$24,0)</f>
        <v>0</v>
      </c>
      <c r="I69" s="107">
        <f t="shared" si="24"/>
        <v>0</v>
      </c>
      <c r="J69" s="107">
        <f t="shared" si="24"/>
        <v>0</v>
      </c>
      <c r="K69" s="107">
        <f t="shared" si="24"/>
        <v>0</v>
      </c>
      <c r="L69" s="107">
        <f t="shared" si="24"/>
        <v>0</v>
      </c>
      <c r="M69" s="107">
        <f t="shared" si="24"/>
        <v>0</v>
      </c>
      <c r="N69" s="107">
        <f t="shared" si="24"/>
        <v>0</v>
      </c>
      <c r="O69" s="107">
        <f t="shared" si="24"/>
        <v>0</v>
      </c>
      <c r="P69" s="107">
        <f t="shared" si="24"/>
        <v>0</v>
      </c>
      <c r="Q69" s="107">
        <f t="shared" si="24"/>
        <v>99388872.328614384</v>
      </c>
      <c r="R69" s="107">
        <f t="shared" si="24"/>
        <v>0</v>
      </c>
      <c r="S69" s="107">
        <f t="shared" si="24"/>
        <v>0</v>
      </c>
      <c r="T69" s="107">
        <f t="shared" si="24"/>
        <v>0</v>
      </c>
      <c r="U69" s="107">
        <f t="shared" si="24"/>
        <v>0</v>
      </c>
      <c r="V69" s="107">
        <f t="shared" si="24"/>
        <v>0</v>
      </c>
      <c r="W69" s="107">
        <f t="shared" si="24"/>
        <v>0</v>
      </c>
      <c r="X69" s="107">
        <f t="shared" si="24"/>
        <v>0</v>
      </c>
      <c r="Y69" s="107">
        <f t="shared" si="24"/>
        <v>0</v>
      </c>
      <c r="Z69" s="107">
        <f t="shared" si="24"/>
        <v>0</v>
      </c>
      <c r="AA69" s="107">
        <f t="shared" si="24"/>
        <v>0</v>
      </c>
      <c r="AB69" s="107">
        <f t="shared" si="24"/>
        <v>0</v>
      </c>
      <c r="AC69" s="107">
        <f t="shared" si="24"/>
        <v>0</v>
      </c>
      <c r="AD69" s="107">
        <f t="shared" si="24"/>
        <v>0</v>
      </c>
      <c r="AE69" s="107">
        <f t="shared" si="24"/>
        <v>0</v>
      </c>
      <c r="AF69" s="107">
        <f t="shared" si="24"/>
        <v>0</v>
      </c>
      <c r="AG69" s="107">
        <f t="shared" si="24"/>
        <v>0</v>
      </c>
      <c r="AH69" s="107">
        <f t="shared" si="24"/>
        <v>0</v>
      </c>
      <c r="AI69" s="107">
        <f t="shared" si="24"/>
        <v>0</v>
      </c>
      <c r="AJ69" s="107">
        <f t="shared" si="24"/>
        <v>0</v>
      </c>
      <c r="AK69" s="107">
        <f t="shared" si="24"/>
        <v>0</v>
      </c>
    </row>
    <row r="70" spans="2:37">
      <c r="B70" s="102" t="s">
        <v>393</v>
      </c>
      <c r="H70" s="107">
        <f t="shared" ref="H70:AK70" si="25">-H69*$G$26</f>
        <v>0</v>
      </c>
      <c r="I70" s="107">
        <f t="shared" si="25"/>
        <v>0</v>
      </c>
      <c r="J70" s="107">
        <f t="shared" si="25"/>
        <v>0</v>
      </c>
      <c r="K70" s="107">
        <f t="shared" si="25"/>
        <v>0</v>
      </c>
      <c r="L70" s="107">
        <f t="shared" si="25"/>
        <v>0</v>
      </c>
      <c r="M70" s="107">
        <f t="shared" si="25"/>
        <v>0</v>
      </c>
      <c r="N70" s="107">
        <f t="shared" si="25"/>
        <v>0</v>
      </c>
      <c r="O70" s="107">
        <f t="shared" si="25"/>
        <v>0</v>
      </c>
      <c r="P70" s="107">
        <f t="shared" si="25"/>
        <v>0</v>
      </c>
      <c r="Q70" s="107">
        <f t="shared" si="25"/>
        <v>0</v>
      </c>
      <c r="R70" s="107">
        <f t="shared" si="25"/>
        <v>0</v>
      </c>
      <c r="S70" s="107">
        <f t="shared" si="25"/>
        <v>0</v>
      </c>
      <c r="T70" s="107">
        <f t="shared" si="25"/>
        <v>0</v>
      </c>
      <c r="U70" s="107">
        <f t="shared" si="25"/>
        <v>0</v>
      </c>
      <c r="V70" s="107">
        <f t="shared" si="25"/>
        <v>0</v>
      </c>
      <c r="W70" s="107">
        <f t="shared" si="25"/>
        <v>0</v>
      </c>
      <c r="X70" s="107">
        <f t="shared" si="25"/>
        <v>0</v>
      </c>
      <c r="Y70" s="107">
        <f t="shared" si="25"/>
        <v>0</v>
      </c>
      <c r="Z70" s="107">
        <f t="shared" si="25"/>
        <v>0</v>
      </c>
      <c r="AA70" s="107">
        <f t="shared" si="25"/>
        <v>0</v>
      </c>
      <c r="AB70" s="107">
        <f t="shared" si="25"/>
        <v>0</v>
      </c>
      <c r="AC70" s="107">
        <f t="shared" si="25"/>
        <v>0</v>
      </c>
      <c r="AD70" s="107">
        <f t="shared" si="25"/>
        <v>0</v>
      </c>
      <c r="AE70" s="107">
        <f t="shared" si="25"/>
        <v>0</v>
      </c>
      <c r="AF70" s="107">
        <f t="shared" si="25"/>
        <v>0</v>
      </c>
      <c r="AG70" s="107">
        <f t="shared" si="25"/>
        <v>0</v>
      </c>
      <c r="AH70" s="107">
        <f t="shared" si="25"/>
        <v>0</v>
      </c>
      <c r="AI70" s="107">
        <f t="shared" si="25"/>
        <v>0</v>
      </c>
      <c r="AJ70" s="107">
        <f t="shared" si="25"/>
        <v>0</v>
      </c>
      <c r="AK70" s="107">
        <f t="shared" si="25"/>
        <v>0</v>
      </c>
    </row>
    <row r="71" spans="2:37">
      <c r="B71" s="111" t="s">
        <v>526</v>
      </c>
      <c r="C71" s="111"/>
      <c r="D71" s="111"/>
      <c r="E71" s="111"/>
      <c r="F71" s="111"/>
      <c r="G71" s="112">
        <f ca="1">SUM(G67:G70)</f>
        <v>-48964098.555394463</v>
      </c>
      <c r="H71" s="112">
        <f t="shared" ref="H71:AK71" si="26">SUM(H67:H70)</f>
        <v>3815845.8645263813</v>
      </c>
      <c r="I71" s="112">
        <f t="shared" si="26"/>
        <v>4089869.6145263813</v>
      </c>
      <c r="J71" s="112">
        <f t="shared" si="26"/>
        <v>4372114.0770263821</v>
      </c>
      <c r="K71" s="112">
        <f t="shared" si="26"/>
        <v>4662825.8734013811</v>
      </c>
      <c r="L71" s="112">
        <f t="shared" si="26"/>
        <v>4962259.0236676298</v>
      </c>
      <c r="M71" s="112">
        <f t="shared" si="26"/>
        <v>5270675.1684418675</v>
      </c>
      <c r="N71" s="112">
        <f t="shared" si="26"/>
        <v>5588343.7975593321</v>
      </c>
      <c r="O71" s="112">
        <f t="shared" si="26"/>
        <v>5915542.4855503216</v>
      </c>
      <c r="P71" s="112">
        <f t="shared" si="26"/>
        <v>6252557.1341810394</v>
      </c>
      <c r="Q71" s="112">
        <f t="shared" si="26"/>
        <v>105988554.55088507</v>
      </c>
      <c r="R71" s="112">
        <f t="shared" si="26"/>
        <v>6957221.0630030073</v>
      </c>
      <c r="S71" s="112">
        <f t="shared" si="26"/>
        <v>0</v>
      </c>
      <c r="T71" s="112">
        <f t="shared" si="26"/>
        <v>0</v>
      </c>
      <c r="U71" s="112">
        <f t="shared" si="26"/>
        <v>0</v>
      </c>
      <c r="V71" s="112">
        <f t="shared" si="26"/>
        <v>0</v>
      </c>
      <c r="W71" s="112">
        <f t="shared" si="26"/>
        <v>0</v>
      </c>
      <c r="X71" s="112">
        <f t="shared" si="26"/>
        <v>0</v>
      </c>
      <c r="Y71" s="112">
        <f t="shared" si="26"/>
        <v>0</v>
      </c>
      <c r="Z71" s="112">
        <f t="shared" si="26"/>
        <v>0</v>
      </c>
      <c r="AA71" s="112">
        <f t="shared" si="26"/>
        <v>0</v>
      </c>
      <c r="AB71" s="112">
        <f t="shared" si="26"/>
        <v>0</v>
      </c>
      <c r="AC71" s="112">
        <f t="shared" si="26"/>
        <v>0</v>
      </c>
      <c r="AD71" s="112">
        <f t="shared" si="26"/>
        <v>0</v>
      </c>
      <c r="AE71" s="112">
        <f t="shared" si="26"/>
        <v>0</v>
      </c>
      <c r="AF71" s="112">
        <f t="shared" si="26"/>
        <v>0</v>
      </c>
      <c r="AG71" s="112">
        <f t="shared" si="26"/>
        <v>0</v>
      </c>
      <c r="AH71" s="112">
        <f t="shared" si="26"/>
        <v>0</v>
      </c>
      <c r="AI71" s="112">
        <f t="shared" si="26"/>
        <v>0</v>
      </c>
      <c r="AJ71" s="112">
        <f t="shared" si="26"/>
        <v>0</v>
      </c>
      <c r="AK71" s="112">
        <f t="shared" si="26"/>
        <v>0</v>
      </c>
    </row>
    <row r="72" spans="2:37" ht="15" thickBot="1"/>
    <row r="73" spans="2:37">
      <c r="B73" s="122" t="s">
        <v>527</v>
      </c>
      <c r="C73" s="123"/>
      <c r="D73" s="123"/>
      <c r="E73" s="123"/>
      <c r="F73" s="123"/>
      <c r="G73" s="124">
        <f ca="1">SUM(G71:R71)</f>
        <v>108911710.09737432</v>
      </c>
    </row>
    <row r="74" spans="2:37">
      <c r="B74" s="125" t="s">
        <v>528</v>
      </c>
      <c r="G74" s="126">
        <f>NPV($L$21,H71:R71)</f>
        <v>82297890.313586801</v>
      </c>
    </row>
    <row r="75" spans="2:37">
      <c r="B75" s="125" t="s">
        <v>529</v>
      </c>
      <c r="G75" s="126">
        <f ca="1">G74+G71</f>
        <v>33333791.758192338</v>
      </c>
    </row>
    <row r="76" spans="2:37">
      <c r="B76" s="125" t="s">
        <v>530</v>
      </c>
      <c r="G76" s="127">
        <f ca="1">IRR(G71:R71)</f>
        <v>0.15381855260448973</v>
      </c>
    </row>
    <row r="77" spans="2:37" ht="15" thickBot="1">
      <c r="B77" s="128" t="s">
        <v>531</v>
      </c>
      <c r="C77" s="129"/>
      <c r="D77" s="129"/>
      <c r="E77" s="129"/>
      <c r="F77" s="129"/>
      <c r="G77" s="130">
        <f ca="1">(G73/-G71)+1</f>
        <v>3.2243176799049906</v>
      </c>
    </row>
    <row r="79" spans="2:37">
      <c r="B79" s="102" t="s">
        <v>532</v>
      </c>
      <c r="G79" s="107">
        <f ca="1">G32</f>
        <v>34274868.988776125</v>
      </c>
    </row>
    <row r="80" spans="2:37">
      <c r="B80" s="102" t="s">
        <v>533</v>
      </c>
      <c r="H80" s="107">
        <f t="shared" ref="H80:AK80" si="27">IF(H35=$G$25,FV($G$30/12,H35*12,$G$33,$G$32),0)</f>
        <v>0</v>
      </c>
      <c r="I80" s="107">
        <f t="shared" si="27"/>
        <v>0</v>
      </c>
      <c r="J80" s="107">
        <f t="shared" si="27"/>
        <v>0</v>
      </c>
      <c r="K80" s="107">
        <f t="shared" si="27"/>
        <v>0</v>
      </c>
      <c r="L80" s="107">
        <f t="shared" si="27"/>
        <v>0</v>
      </c>
      <c r="M80" s="107">
        <f t="shared" si="27"/>
        <v>0</v>
      </c>
      <c r="N80" s="107">
        <f t="shared" si="27"/>
        <v>0</v>
      </c>
      <c r="O80" s="107">
        <f t="shared" si="27"/>
        <v>0</v>
      </c>
      <c r="P80" s="107">
        <f t="shared" si="27"/>
        <v>0</v>
      </c>
      <c r="Q80" s="107">
        <f t="shared" ca="1" si="27"/>
        <v>-27879886.037392009</v>
      </c>
      <c r="R80" s="107">
        <f t="shared" si="27"/>
        <v>0</v>
      </c>
      <c r="S80" s="107">
        <f t="shared" si="27"/>
        <v>0</v>
      </c>
      <c r="T80" s="107">
        <f t="shared" si="27"/>
        <v>0</v>
      </c>
      <c r="U80" s="107">
        <f t="shared" si="27"/>
        <v>0</v>
      </c>
      <c r="V80" s="107">
        <f t="shared" si="27"/>
        <v>0</v>
      </c>
      <c r="W80" s="107">
        <f t="shared" si="27"/>
        <v>0</v>
      </c>
      <c r="X80" s="107">
        <f t="shared" si="27"/>
        <v>0</v>
      </c>
      <c r="Y80" s="107">
        <f t="shared" si="27"/>
        <v>0</v>
      </c>
      <c r="Z80" s="107">
        <f t="shared" si="27"/>
        <v>0</v>
      </c>
      <c r="AA80" s="107">
        <f t="shared" si="27"/>
        <v>0</v>
      </c>
      <c r="AB80" s="107">
        <f t="shared" si="27"/>
        <v>0</v>
      </c>
      <c r="AC80" s="107">
        <f t="shared" si="27"/>
        <v>0</v>
      </c>
      <c r="AD80" s="107">
        <f t="shared" si="27"/>
        <v>0</v>
      </c>
      <c r="AE80" s="107">
        <f t="shared" si="27"/>
        <v>0</v>
      </c>
      <c r="AF80" s="107">
        <f t="shared" si="27"/>
        <v>0</v>
      </c>
      <c r="AG80" s="107">
        <f t="shared" si="27"/>
        <v>0</v>
      </c>
      <c r="AH80" s="107">
        <f t="shared" si="27"/>
        <v>0</v>
      </c>
      <c r="AI80" s="107">
        <f t="shared" si="27"/>
        <v>0</v>
      </c>
      <c r="AJ80" s="107">
        <f t="shared" si="27"/>
        <v>0</v>
      </c>
      <c r="AK80" s="107">
        <f t="shared" si="27"/>
        <v>0</v>
      </c>
    </row>
    <row r="81" spans="1:37">
      <c r="B81" s="102" t="s">
        <v>534</v>
      </c>
      <c r="H81" s="107">
        <f t="shared" ref="H81:AK81" ca="1" si="28">IF(H35&lt;=$G$25,$G$33*12,0)</f>
        <v>-2207938.8958899882</v>
      </c>
      <c r="I81" s="107">
        <f t="shared" ca="1" si="28"/>
        <v>-2207938.8958899882</v>
      </c>
      <c r="J81" s="107">
        <f t="shared" ca="1" si="28"/>
        <v>-2207938.8958899882</v>
      </c>
      <c r="K81" s="107">
        <f t="shared" ca="1" si="28"/>
        <v>-2207938.8958899882</v>
      </c>
      <c r="L81" s="107">
        <f t="shared" ca="1" si="28"/>
        <v>-2207938.8958899882</v>
      </c>
      <c r="M81" s="107">
        <f t="shared" ca="1" si="28"/>
        <v>-2207938.8958899882</v>
      </c>
      <c r="N81" s="107">
        <f t="shared" ca="1" si="28"/>
        <v>-2207938.8958899882</v>
      </c>
      <c r="O81" s="107">
        <f t="shared" ca="1" si="28"/>
        <v>-2207938.8958899882</v>
      </c>
      <c r="P81" s="107">
        <f t="shared" ca="1" si="28"/>
        <v>-2207938.8958899882</v>
      </c>
      <c r="Q81" s="107">
        <f t="shared" ca="1" si="28"/>
        <v>-2207938.8958899882</v>
      </c>
      <c r="R81" s="107">
        <f t="shared" si="28"/>
        <v>0</v>
      </c>
      <c r="S81" s="107">
        <f t="shared" si="28"/>
        <v>0</v>
      </c>
      <c r="T81" s="107">
        <f t="shared" si="28"/>
        <v>0</v>
      </c>
      <c r="U81" s="107">
        <f t="shared" si="28"/>
        <v>0</v>
      </c>
      <c r="V81" s="107">
        <f t="shared" si="28"/>
        <v>0</v>
      </c>
      <c r="W81" s="107">
        <f t="shared" si="28"/>
        <v>0</v>
      </c>
      <c r="X81" s="107">
        <f t="shared" si="28"/>
        <v>0</v>
      </c>
      <c r="Y81" s="107">
        <f t="shared" si="28"/>
        <v>0</v>
      </c>
      <c r="Z81" s="107">
        <f t="shared" si="28"/>
        <v>0</v>
      </c>
      <c r="AA81" s="107">
        <f t="shared" si="28"/>
        <v>0</v>
      </c>
      <c r="AB81" s="107">
        <f t="shared" si="28"/>
        <v>0</v>
      </c>
      <c r="AC81" s="107">
        <f t="shared" si="28"/>
        <v>0</v>
      </c>
      <c r="AD81" s="107">
        <f t="shared" si="28"/>
        <v>0</v>
      </c>
      <c r="AE81" s="107">
        <f t="shared" si="28"/>
        <v>0</v>
      </c>
      <c r="AF81" s="107">
        <f t="shared" si="28"/>
        <v>0</v>
      </c>
      <c r="AG81" s="107">
        <f t="shared" si="28"/>
        <v>0</v>
      </c>
      <c r="AH81" s="107">
        <f t="shared" si="28"/>
        <v>0</v>
      </c>
      <c r="AI81" s="107">
        <f t="shared" si="28"/>
        <v>0</v>
      </c>
      <c r="AJ81" s="107">
        <f t="shared" si="28"/>
        <v>0</v>
      </c>
      <c r="AK81" s="107">
        <f t="shared" si="28"/>
        <v>0</v>
      </c>
    </row>
    <row r="83" spans="1:37">
      <c r="B83" s="102" t="s">
        <v>535</v>
      </c>
      <c r="G83" s="107">
        <f t="shared" ref="G83:AK83" ca="1" si="29">IF(G35&lt;=$G$25,SUM(G71,G79:G81),0)</f>
        <v>-14689229.566618338</v>
      </c>
      <c r="H83" s="107">
        <f t="shared" ca="1" si="29"/>
        <v>1607906.9686363931</v>
      </c>
      <c r="I83" s="107">
        <f t="shared" ca="1" si="29"/>
        <v>1881930.7186363931</v>
      </c>
      <c r="J83" s="107">
        <f t="shared" ca="1" si="29"/>
        <v>2164175.1811363939</v>
      </c>
      <c r="K83" s="107">
        <f t="shared" ca="1" si="29"/>
        <v>2454886.9775113929</v>
      </c>
      <c r="L83" s="107">
        <f t="shared" ca="1" si="29"/>
        <v>2754320.1277776416</v>
      </c>
      <c r="M83" s="107">
        <f t="shared" ca="1" si="29"/>
        <v>3062736.2725518793</v>
      </c>
      <c r="N83" s="107">
        <f t="shared" ca="1" si="29"/>
        <v>3380404.9016693439</v>
      </c>
      <c r="O83" s="107">
        <f t="shared" ca="1" si="29"/>
        <v>3707603.5896603335</v>
      </c>
      <c r="P83" s="107">
        <f t="shared" ca="1" si="29"/>
        <v>4044618.2382910512</v>
      </c>
      <c r="Q83" s="107">
        <f t="shared" ca="1" si="29"/>
        <v>75900729.617603078</v>
      </c>
      <c r="R83" s="107">
        <f t="shared" si="29"/>
        <v>0</v>
      </c>
      <c r="S83" s="107">
        <f t="shared" si="29"/>
        <v>0</v>
      </c>
      <c r="T83" s="107">
        <f t="shared" si="29"/>
        <v>0</v>
      </c>
      <c r="U83" s="107">
        <f t="shared" si="29"/>
        <v>0</v>
      </c>
      <c r="V83" s="107">
        <f t="shared" si="29"/>
        <v>0</v>
      </c>
      <c r="W83" s="107">
        <f t="shared" si="29"/>
        <v>0</v>
      </c>
      <c r="X83" s="107">
        <f t="shared" si="29"/>
        <v>0</v>
      </c>
      <c r="Y83" s="107">
        <f t="shared" si="29"/>
        <v>0</v>
      </c>
      <c r="Z83" s="107">
        <f t="shared" si="29"/>
        <v>0</v>
      </c>
      <c r="AA83" s="107">
        <f t="shared" si="29"/>
        <v>0</v>
      </c>
      <c r="AB83" s="107">
        <f t="shared" si="29"/>
        <v>0</v>
      </c>
      <c r="AC83" s="107">
        <f t="shared" si="29"/>
        <v>0</v>
      </c>
      <c r="AD83" s="107">
        <f t="shared" si="29"/>
        <v>0</v>
      </c>
      <c r="AE83" s="107">
        <f t="shared" si="29"/>
        <v>0</v>
      </c>
      <c r="AF83" s="107">
        <f t="shared" si="29"/>
        <v>0</v>
      </c>
      <c r="AG83" s="107">
        <f t="shared" si="29"/>
        <v>0</v>
      </c>
      <c r="AH83" s="107">
        <f t="shared" si="29"/>
        <v>0</v>
      </c>
      <c r="AI83" s="107">
        <f t="shared" si="29"/>
        <v>0</v>
      </c>
      <c r="AJ83" s="107">
        <f t="shared" si="29"/>
        <v>0</v>
      </c>
      <c r="AK83" s="107">
        <f t="shared" si="29"/>
        <v>0</v>
      </c>
    </row>
    <row r="84" spans="1:37" ht="15" thickBot="1"/>
    <row r="85" spans="1:37">
      <c r="B85" s="122" t="s">
        <v>527</v>
      </c>
      <c r="C85" s="123"/>
      <c r="D85" s="123"/>
      <c r="E85" s="123"/>
      <c r="F85" s="123"/>
      <c r="G85" s="124">
        <f ca="1">SUM(G83:R83)</f>
        <v>86270083.026855558</v>
      </c>
    </row>
    <row r="86" spans="1:37">
      <c r="B86" s="125" t="s">
        <v>528</v>
      </c>
      <c r="G86" s="126">
        <f ca="1">NPV($L$21,H83:R83)</f>
        <v>51584826.074668005</v>
      </c>
    </row>
    <row r="87" spans="1:37">
      <c r="B87" s="125" t="s">
        <v>529</v>
      </c>
      <c r="G87" s="126">
        <f ca="1">G86+G83</f>
        <v>36895596.508049667</v>
      </c>
    </row>
    <row r="88" spans="1:37">
      <c r="B88" s="125" t="s">
        <v>536</v>
      </c>
      <c r="G88" s="131">
        <f ca="1">IRR(G83:R83)</f>
        <v>0.26892829534833873</v>
      </c>
    </row>
    <row r="89" spans="1:37" ht="15" thickBot="1">
      <c r="B89" s="128" t="s">
        <v>531</v>
      </c>
      <c r="C89" s="129"/>
      <c r="D89" s="129"/>
      <c r="E89" s="129"/>
      <c r="F89" s="129"/>
      <c r="G89" s="130">
        <f ca="1">(G85/-G83)+1</f>
        <v>6.8730161875137821</v>
      </c>
    </row>
    <row r="91" spans="1:37">
      <c r="A91" s="102" t="s">
        <v>472</v>
      </c>
      <c r="B91" s="245" t="s">
        <v>588</v>
      </c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5"/>
      <c r="P91" s="246"/>
      <c r="Q91" s="245"/>
      <c r="R91" s="245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</row>
    <row r="92" spans="1:37">
      <c r="F92" s="164" t="s">
        <v>589</v>
      </c>
      <c r="G92" s="164"/>
      <c r="H92" s="164"/>
      <c r="I92" s="164"/>
      <c r="J92" s="164"/>
      <c r="P92" s="102"/>
    </row>
    <row r="93" spans="1:37">
      <c r="E93" s="133">
        <f ca="1">G88</f>
        <v>0.26892829534833873</v>
      </c>
      <c r="F93" s="668">
        <v>3</v>
      </c>
      <c r="G93" s="668">
        <v>4</v>
      </c>
      <c r="H93" s="668">
        <v>5</v>
      </c>
      <c r="I93" s="668">
        <v>6</v>
      </c>
      <c r="J93" s="668">
        <v>7</v>
      </c>
      <c r="P93" s="102"/>
    </row>
    <row r="94" spans="1:37">
      <c r="C94" s="768" t="s">
        <v>390</v>
      </c>
      <c r="D94" s="768"/>
      <c r="E94" s="669">
        <v>0.05</v>
      </c>
      <c r="F94" s="135">
        <f t="dataTable" ref="F94:J98" dt2D="1" dtr="1" r1="G25" r2="G24" ca="1"/>
        <v>0.68672461972481913</v>
      </c>
      <c r="G94" s="136">
        <v>0.54335764353671423</v>
      </c>
      <c r="H94" s="136">
        <v>0.46206891578702858</v>
      </c>
      <c r="I94" s="136">
        <v>0.40953281932388186</v>
      </c>
      <c r="J94" s="137">
        <v>0.37270206185164434</v>
      </c>
      <c r="P94" s="102"/>
    </row>
    <row r="95" spans="1:37">
      <c r="C95" s="768"/>
      <c r="D95" s="768"/>
      <c r="E95" s="669">
        <v>5.2499999999999998E-2</v>
      </c>
      <c r="F95" s="138">
        <v>0.64820582915289804</v>
      </c>
      <c r="G95" s="135">
        <v>0.51869785489812026</v>
      </c>
      <c r="H95" s="136">
        <v>0.44459534065318174</v>
      </c>
      <c r="I95" s="137">
        <v>0.39638238292925809</v>
      </c>
      <c r="J95" s="139">
        <v>0.3624041194191514</v>
      </c>
      <c r="P95" s="102"/>
    </row>
    <row r="96" spans="1:37">
      <c r="C96" s="768"/>
      <c r="D96" s="768"/>
      <c r="E96" s="669">
        <v>5.5E-2</v>
      </c>
      <c r="F96" s="138">
        <v>0.61148610444769003</v>
      </c>
      <c r="G96" s="138">
        <v>0.49512810531366891</v>
      </c>
      <c r="H96" s="140">
        <v>0.42789014932027536</v>
      </c>
      <c r="I96" s="139">
        <v>0.38382013512465019</v>
      </c>
      <c r="J96" s="139">
        <v>0.35257934281890213</v>
      </c>
      <c r="K96" s="118"/>
      <c r="P96" s="102"/>
    </row>
    <row r="97" spans="3:16">
      <c r="C97" s="768"/>
      <c r="D97" s="768"/>
      <c r="E97" s="669">
        <v>5.7500000000000002E-2</v>
      </c>
      <c r="F97" s="138">
        <v>0.57636609358985669</v>
      </c>
      <c r="G97" s="141">
        <v>0.4725319040953424</v>
      </c>
      <c r="H97" s="142">
        <v>0.4118740820424347</v>
      </c>
      <c r="I97" s="143">
        <v>0.37178719089486179</v>
      </c>
      <c r="J97" s="139">
        <v>0.34318143580451999</v>
      </c>
      <c r="P97" s="102"/>
    </row>
    <row r="98" spans="3:16">
      <c r="C98" s="768"/>
      <c r="D98" s="768"/>
      <c r="E98" s="669">
        <v>0.06</v>
      </c>
      <c r="F98" s="141">
        <v>0.54267325874149597</v>
      </c>
      <c r="G98" s="142">
        <v>0.45080821512363922</v>
      </c>
      <c r="H98" s="142">
        <v>0.39647837963025578</v>
      </c>
      <c r="I98" s="142">
        <v>0.36023247602869701</v>
      </c>
      <c r="J98" s="143">
        <v>0.33417024901030401</v>
      </c>
      <c r="P98" s="102"/>
    </row>
  </sheetData>
  <mergeCells count="1">
    <mergeCell ref="C94:D98"/>
  </mergeCells>
  <conditionalFormatting sqref="F94:J9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scale="48" orientation="portrait" r:id="rId1"/>
  <headerFooter>
    <oddHeader xml:space="preserve">&amp;L2019 ULI Hines Student Competition&amp;R2019-331 &amp;A 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6F4A9-DB0F-4BFE-85DB-1CD3DDD7EA8A}">
  <sheetPr>
    <tabColor rgb="FFFFC000"/>
  </sheetPr>
  <dimension ref="A2:AK99"/>
  <sheetViews>
    <sheetView showGridLines="0" view="pageBreakPreview" zoomScale="80" zoomScaleNormal="100" zoomScaleSheetLayoutView="80" workbookViewId="0"/>
  </sheetViews>
  <sheetFormatPr defaultRowHeight="14.4"/>
  <cols>
    <col min="1" max="4" width="1.6640625" style="102" customWidth="1"/>
    <col min="5" max="5" width="8.88671875" style="102"/>
    <col min="6" max="6" width="8.88671875" style="102" customWidth="1"/>
    <col min="7" max="7" width="16.33203125" style="102" customWidth="1"/>
    <col min="8" max="8" width="12.5546875" style="102" bestFit="1" customWidth="1"/>
    <col min="9" max="9" width="11.5546875" style="102" bestFit="1" customWidth="1"/>
    <col min="10" max="10" width="13.6640625" style="102" bestFit="1" customWidth="1"/>
    <col min="11" max="12" width="12.5546875" style="102" bestFit="1" customWidth="1"/>
    <col min="13" max="14" width="11.88671875" style="102" bestFit="1" customWidth="1"/>
    <col min="15" max="15" width="12.109375" style="102" bestFit="1" customWidth="1"/>
    <col min="16" max="16" width="13" style="164" customWidth="1"/>
    <col min="17" max="17" width="12.44140625" style="102" bestFit="1" customWidth="1"/>
    <col min="18" max="18" width="13.109375" style="102" bestFit="1" customWidth="1"/>
    <col min="19" max="21" width="8.88671875" style="102"/>
    <col min="22" max="22" width="14.109375" style="102" bestFit="1" customWidth="1"/>
    <col min="23" max="16384" width="8.88671875" style="102"/>
  </cols>
  <sheetData>
    <row r="2" spans="1:19">
      <c r="P2" s="497"/>
    </row>
    <row r="3" spans="1:19">
      <c r="P3" s="497"/>
    </row>
    <row r="4" spans="1:19">
      <c r="P4" s="497"/>
    </row>
    <row r="5" spans="1:19">
      <c r="P5" s="497"/>
    </row>
    <row r="6" spans="1:19">
      <c r="P6" s="497"/>
    </row>
    <row r="7" spans="1:19">
      <c r="P7" s="497"/>
    </row>
    <row r="8" spans="1:19">
      <c r="B8" s="410" t="s">
        <v>762</v>
      </c>
      <c r="P8" s="387"/>
    </row>
    <row r="9" spans="1:19" ht="15.6">
      <c r="B9" s="411" t="s">
        <v>767</v>
      </c>
      <c r="P9" s="387"/>
    </row>
    <row r="11" spans="1:19">
      <c r="A11" s="102" t="s">
        <v>472</v>
      </c>
      <c r="B11" s="245" t="s">
        <v>473</v>
      </c>
      <c r="C11" s="245"/>
      <c r="D11" s="245"/>
      <c r="E11" s="245"/>
      <c r="F11" s="245"/>
      <c r="G11" s="245"/>
      <c r="H11" s="245"/>
      <c r="I11" s="105"/>
      <c r="J11" s="245" t="s">
        <v>555</v>
      </c>
      <c r="K11" s="245"/>
      <c r="L11" s="245"/>
      <c r="M11" s="245"/>
      <c r="N11" s="246" t="s">
        <v>556</v>
      </c>
      <c r="P11" s="245" t="s">
        <v>449</v>
      </c>
      <c r="Q11" s="245"/>
      <c r="R11" s="245"/>
    </row>
    <row r="12" spans="1:19">
      <c r="B12" s="102" t="s">
        <v>557</v>
      </c>
      <c r="G12" s="327">
        <f>'Area Matrix'!D45</f>
        <v>209097.00000000003</v>
      </c>
      <c r="J12" s="102" t="s">
        <v>509</v>
      </c>
      <c r="M12" s="107">
        <f>G12*G18</f>
        <v>6394186.2600000007</v>
      </c>
      <c r="N12" s="108">
        <f>M12/G12</f>
        <v>30.58</v>
      </c>
      <c r="P12" s="102" t="s">
        <v>591</v>
      </c>
      <c r="R12" s="147">
        <f ca="1">SUM('Area Matrix'!D60,'Area Matrix'!H60,'Area Matrix'!L60,'Area Matrix'!P60,'Area Matrix'!T60)</f>
        <v>74338327.214647442</v>
      </c>
    </row>
    <row r="13" spans="1:19">
      <c r="B13" s="326" t="s">
        <v>692</v>
      </c>
      <c r="G13" s="327">
        <f>'Phase I - CF Retail'!G13</f>
        <v>2500</v>
      </c>
      <c r="J13" s="102" t="s">
        <v>521</v>
      </c>
      <c r="M13" s="107">
        <f>-M12*G21</f>
        <v>-639418.62600000016</v>
      </c>
      <c r="N13" s="164"/>
      <c r="P13" s="109" t="s">
        <v>507</v>
      </c>
      <c r="R13" s="147">
        <f ca="1">R12*G28</f>
        <v>0</v>
      </c>
    </row>
    <row r="14" spans="1:19">
      <c r="B14" s="326" t="s">
        <v>693</v>
      </c>
      <c r="G14" s="327">
        <f>G12/G13</f>
        <v>83.638800000000018</v>
      </c>
      <c r="J14" s="111" t="s">
        <v>522</v>
      </c>
      <c r="K14" s="111"/>
      <c r="L14" s="111"/>
      <c r="M14" s="112">
        <f>M12+M13</f>
        <v>5754767.6340000005</v>
      </c>
      <c r="N14" s="113"/>
      <c r="P14" s="114" t="s">
        <v>453</v>
      </c>
      <c r="Q14" s="111"/>
      <c r="R14" s="112">
        <f ca="1">SUM(R12:R13)</f>
        <v>74338327.214647442</v>
      </c>
    </row>
    <row r="15" spans="1:19">
      <c r="N15" s="164"/>
      <c r="S15" s="110"/>
    </row>
    <row r="16" spans="1:19">
      <c r="B16" s="245" t="s">
        <v>558</v>
      </c>
      <c r="C16" s="245"/>
      <c r="D16" s="245"/>
      <c r="E16" s="245"/>
      <c r="F16" s="245"/>
      <c r="G16" s="245"/>
      <c r="H16" s="245"/>
      <c r="I16" s="105"/>
      <c r="J16" s="116" t="s">
        <v>11</v>
      </c>
      <c r="N16" s="164"/>
      <c r="P16" s="245" t="s">
        <v>499</v>
      </c>
      <c r="Q16" s="245"/>
      <c r="R16" s="245"/>
      <c r="S16" s="115"/>
    </row>
    <row r="17" spans="2:18">
      <c r="B17" s="102" t="s">
        <v>559</v>
      </c>
      <c r="G17" s="661">
        <v>15</v>
      </c>
      <c r="H17" s="102" t="s">
        <v>560</v>
      </c>
      <c r="J17" s="102" t="s">
        <v>565</v>
      </c>
      <c r="M17" s="107">
        <f>N17*$G$12</f>
        <v>313645.50000000006</v>
      </c>
      <c r="N17" s="656">
        <v>1.5</v>
      </c>
      <c r="P17" s="109" t="s">
        <v>478</v>
      </c>
      <c r="R17" s="107">
        <f ca="1">G34</f>
        <v>52036829.050253205</v>
      </c>
    </row>
    <row r="18" spans="2:18">
      <c r="B18" s="102" t="s">
        <v>561</v>
      </c>
      <c r="G18" s="661">
        <v>30.58</v>
      </c>
      <c r="H18" s="102" t="s">
        <v>562</v>
      </c>
      <c r="J18" s="102" t="s">
        <v>567</v>
      </c>
      <c r="M18" s="107">
        <f>N18*$G$12</f>
        <v>313645.50000000006</v>
      </c>
      <c r="N18" s="656">
        <v>1.5</v>
      </c>
      <c r="P18" s="109" t="s">
        <v>28</v>
      </c>
      <c r="R18" s="107">
        <f ca="1">R19-R17</f>
        <v>22301498.164394237</v>
      </c>
    </row>
    <row r="19" spans="2:18">
      <c r="B19" s="102" t="s">
        <v>563</v>
      </c>
      <c r="G19" s="662">
        <v>0.03</v>
      </c>
      <c r="H19" s="102" t="s">
        <v>564</v>
      </c>
      <c r="J19" s="102" t="s">
        <v>36</v>
      </c>
      <c r="M19" s="107">
        <f>N19*$G$12</f>
        <v>418194.00000000006</v>
      </c>
      <c r="N19" s="656">
        <v>2</v>
      </c>
      <c r="P19" s="114" t="s">
        <v>458</v>
      </c>
      <c r="Q19" s="111"/>
      <c r="R19" s="112">
        <f ca="1">R14</f>
        <v>74338327.214647442</v>
      </c>
    </row>
    <row r="20" spans="2:18">
      <c r="B20" s="102" t="s">
        <v>566</v>
      </c>
      <c r="G20" s="662">
        <v>0.02</v>
      </c>
      <c r="J20" s="381" t="s">
        <v>728</v>
      </c>
      <c r="M20" s="107">
        <f>N20*$M$12</f>
        <v>383651.17560000002</v>
      </c>
      <c r="N20" s="382">
        <f>Taxes!$X$13</f>
        <v>0.06</v>
      </c>
    </row>
    <row r="21" spans="2:18">
      <c r="B21" s="102" t="s">
        <v>568</v>
      </c>
      <c r="G21" s="662">
        <v>0.1</v>
      </c>
      <c r="H21" s="102" t="s">
        <v>590</v>
      </c>
      <c r="J21" s="102" t="s">
        <v>571</v>
      </c>
      <c r="M21" s="107">
        <f>N21*$M$12</f>
        <v>191825.58780000001</v>
      </c>
      <c r="N21" s="658">
        <v>0.03</v>
      </c>
      <c r="P21" s="102" t="s">
        <v>394</v>
      </c>
      <c r="R21" s="657">
        <v>0.08</v>
      </c>
    </row>
    <row r="22" spans="2:18">
      <c r="B22" s="102" t="s">
        <v>569</v>
      </c>
      <c r="G22" s="661">
        <v>15</v>
      </c>
      <c r="H22" s="102" t="s">
        <v>570</v>
      </c>
      <c r="J22" s="111" t="s">
        <v>414</v>
      </c>
      <c r="K22" s="111"/>
      <c r="L22" s="111"/>
      <c r="M22" s="112">
        <f>SUM(M17:M21)</f>
        <v>1620961.7634000003</v>
      </c>
      <c r="N22" s="659">
        <v>4</v>
      </c>
      <c r="P22" s="102"/>
    </row>
    <row r="23" spans="2:18">
      <c r="B23" s="102" t="s">
        <v>572</v>
      </c>
      <c r="G23" s="662">
        <v>0.06</v>
      </c>
      <c r="N23" s="164"/>
      <c r="P23" s="102"/>
    </row>
    <row r="24" spans="2:18">
      <c r="B24" s="102" t="s">
        <v>389</v>
      </c>
      <c r="G24" s="663">
        <v>5.3999999999999999E-2</v>
      </c>
      <c r="J24" s="102" t="s">
        <v>575</v>
      </c>
      <c r="M24" s="107">
        <f>M14-M22</f>
        <v>4133805.8706</v>
      </c>
      <c r="N24" s="164"/>
    </row>
    <row r="25" spans="2:18">
      <c r="B25" s="102" t="s">
        <v>390</v>
      </c>
      <c r="G25" s="663">
        <v>0.05</v>
      </c>
    </row>
    <row r="26" spans="2:18">
      <c r="B26" s="102" t="s">
        <v>573</v>
      </c>
      <c r="G26" s="664">
        <v>0</v>
      </c>
      <c r="H26" s="102" t="s">
        <v>574</v>
      </c>
      <c r="N26" s="164"/>
    </row>
    <row r="27" spans="2:18">
      <c r="B27" s="102" t="s">
        <v>391</v>
      </c>
      <c r="G27" s="665">
        <v>10</v>
      </c>
      <c r="H27" s="102" t="s">
        <v>560</v>
      </c>
      <c r="M27" s="107"/>
      <c r="N27" s="164"/>
    </row>
    <row r="28" spans="2:18">
      <c r="B28" s="102" t="s">
        <v>393</v>
      </c>
      <c r="G28" s="662">
        <v>0</v>
      </c>
      <c r="J28" s="118"/>
      <c r="M28" s="107"/>
      <c r="N28" s="164"/>
    </row>
    <row r="29" spans="2:18">
      <c r="J29" s="118"/>
      <c r="N29" s="164"/>
    </row>
    <row r="30" spans="2:18">
      <c r="B30" s="245" t="s">
        <v>576</v>
      </c>
      <c r="C30" s="245"/>
      <c r="D30" s="245"/>
      <c r="E30" s="245"/>
      <c r="F30" s="245"/>
      <c r="G30" s="245"/>
      <c r="H30" s="245"/>
      <c r="I30" s="105"/>
      <c r="N30" s="164"/>
    </row>
    <row r="31" spans="2:18">
      <c r="B31" s="102" t="s">
        <v>577</v>
      </c>
      <c r="G31" s="657">
        <v>0.7</v>
      </c>
      <c r="H31" s="102" t="s">
        <v>578</v>
      </c>
      <c r="J31" s="115"/>
      <c r="N31" s="164"/>
    </row>
    <row r="32" spans="2:18">
      <c r="B32" s="102" t="s">
        <v>460</v>
      </c>
      <c r="G32" s="657">
        <v>0.05</v>
      </c>
      <c r="J32" s="115"/>
    </row>
    <row r="33" spans="1:37">
      <c r="B33" s="102" t="s">
        <v>540</v>
      </c>
      <c r="G33" s="660">
        <v>30</v>
      </c>
      <c r="H33" s="102" t="s">
        <v>579</v>
      </c>
    </row>
    <row r="34" spans="1:37">
      <c r="B34" s="102" t="s">
        <v>580</v>
      </c>
      <c r="G34" s="107">
        <f ca="1">G31*R14</f>
        <v>52036829.050253205</v>
      </c>
    </row>
    <row r="35" spans="1:37">
      <c r="B35" s="102" t="s">
        <v>581</v>
      </c>
      <c r="G35" s="107">
        <f ca="1">PMT(G32/12,G33*12,G34)</f>
        <v>-279344.95027162152</v>
      </c>
    </row>
    <row r="37" spans="1:37">
      <c r="A37" s="102" t="s">
        <v>472</v>
      </c>
      <c r="B37" s="245" t="s">
        <v>513</v>
      </c>
      <c r="C37" s="245"/>
      <c r="D37" s="245"/>
      <c r="E37" s="245"/>
      <c r="F37" s="245"/>
      <c r="G37" s="666">
        <v>0</v>
      </c>
      <c r="H37" s="247">
        <f>G37+1</f>
        <v>1</v>
      </c>
      <c r="I37" s="247">
        <f t="shared" ref="I37:AK37" si="0">H37+1</f>
        <v>2</v>
      </c>
      <c r="J37" s="247">
        <f t="shared" si="0"/>
        <v>3</v>
      </c>
      <c r="K37" s="247">
        <f t="shared" si="0"/>
        <v>4</v>
      </c>
      <c r="L37" s="247">
        <f t="shared" si="0"/>
        <v>5</v>
      </c>
      <c r="M37" s="247">
        <f t="shared" si="0"/>
        <v>6</v>
      </c>
      <c r="N37" s="247">
        <f t="shared" si="0"/>
        <v>7</v>
      </c>
      <c r="O37" s="247">
        <f t="shared" si="0"/>
        <v>8</v>
      </c>
      <c r="P37" s="247">
        <f t="shared" si="0"/>
        <v>9</v>
      </c>
      <c r="Q37" s="247">
        <f t="shared" si="0"/>
        <v>10</v>
      </c>
      <c r="R37" s="247">
        <f t="shared" si="0"/>
        <v>11</v>
      </c>
      <c r="S37" s="119">
        <f t="shared" si="0"/>
        <v>12</v>
      </c>
      <c r="T37" s="119">
        <f t="shared" si="0"/>
        <v>13</v>
      </c>
      <c r="U37" s="119">
        <f t="shared" si="0"/>
        <v>14</v>
      </c>
      <c r="V37" s="119">
        <f t="shared" si="0"/>
        <v>15</v>
      </c>
      <c r="W37" s="119">
        <f t="shared" si="0"/>
        <v>16</v>
      </c>
      <c r="X37" s="119">
        <f t="shared" si="0"/>
        <v>17</v>
      </c>
      <c r="Y37" s="119">
        <f t="shared" si="0"/>
        <v>18</v>
      </c>
      <c r="Z37" s="119">
        <f t="shared" si="0"/>
        <v>19</v>
      </c>
      <c r="AA37" s="119">
        <f t="shared" si="0"/>
        <v>20</v>
      </c>
      <c r="AB37" s="119">
        <f t="shared" si="0"/>
        <v>21</v>
      </c>
      <c r="AC37" s="119">
        <f t="shared" si="0"/>
        <v>22</v>
      </c>
      <c r="AD37" s="119">
        <f t="shared" si="0"/>
        <v>23</v>
      </c>
      <c r="AE37" s="119">
        <f t="shared" si="0"/>
        <v>24</v>
      </c>
      <c r="AF37" s="119">
        <f t="shared" si="0"/>
        <v>25</v>
      </c>
      <c r="AG37" s="119">
        <f t="shared" si="0"/>
        <v>26</v>
      </c>
      <c r="AH37" s="119">
        <f t="shared" si="0"/>
        <v>27</v>
      </c>
      <c r="AI37" s="119">
        <f t="shared" si="0"/>
        <v>28</v>
      </c>
      <c r="AJ37" s="119">
        <f t="shared" si="0"/>
        <v>29</v>
      </c>
      <c r="AK37" s="119">
        <f t="shared" si="0"/>
        <v>30</v>
      </c>
    </row>
    <row r="38" spans="1:37">
      <c r="B38" s="102" t="s">
        <v>412</v>
      </c>
      <c r="H38" s="120">
        <f t="shared" ref="H38:AK38" si="1">1-$G$21</f>
        <v>0.9</v>
      </c>
      <c r="I38" s="120">
        <f t="shared" si="1"/>
        <v>0.9</v>
      </c>
      <c r="J38" s="120">
        <f t="shared" si="1"/>
        <v>0.9</v>
      </c>
      <c r="K38" s="120">
        <f t="shared" si="1"/>
        <v>0.9</v>
      </c>
      <c r="L38" s="120">
        <f t="shared" si="1"/>
        <v>0.9</v>
      </c>
      <c r="M38" s="120">
        <f t="shared" si="1"/>
        <v>0.9</v>
      </c>
      <c r="N38" s="120">
        <f t="shared" si="1"/>
        <v>0.9</v>
      </c>
      <c r="O38" s="120">
        <f t="shared" si="1"/>
        <v>0.9</v>
      </c>
      <c r="P38" s="120">
        <f t="shared" si="1"/>
        <v>0.9</v>
      </c>
      <c r="Q38" s="120">
        <f t="shared" si="1"/>
        <v>0.9</v>
      </c>
      <c r="R38" s="120">
        <f t="shared" si="1"/>
        <v>0.9</v>
      </c>
      <c r="S38" s="120">
        <f t="shared" si="1"/>
        <v>0.9</v>
      </c>
      <c r="T38" s="120">
        <f t="shared" si="1"/>
        <v>0.9</v>
      </c>
      <c r="U38" s="120">
        <f t="shared" si="1"/>
        <v>0.9</v>
      </c>
      <c r="V38" s="120">
        <f t="shared" si="1"/>
        <v>0.9</v>
      </c>
      <c r="W38" s="120">
        <f t="shared" si="1"/>
        <v>0.9</v>
      </c>
      <c r="X38" s="120">
        <f t="shared" si="1"/>
        <v>0.9</v>
      </c>
      <c r="Y38" s="120">
        <f t="shared" si="1"/>
        <v>0.9</v>
      </c>
      <c r="Z38" s="120">
        <f t="shared" si="1"/>
        <v>0.9</v>
      </c>
      <c r="AA38" s="120">
        <f t="shared" si="1"/>
        <v>0.9</v>
      </c>
      <c r="AB38" s="120">
        <f t="shared" si="1"/>
        <v>0.9</v>
      </c>
      <c r="AC38" s="120">
        <f t="shared" si="1"/>
        <v>0.9</v>
      </c>
      <c r="AD38" s="120">
        <f t="shared" si="1"/>
        <v>0.9</v>
      </c>
      <c r="AE38" s="120">
        <f t="shared" si="1"/>
        <v>0.9</v>
      </c>
      <c r="AF38" s="120">
        <f t="shared" si="1"/>
        <v>0.9</v>
      </c>
      <c r="AG38" s="120">
        <f t="shared" si="1"/>
        <v>0.9</v>
      </c>
      <c r="AH38" s="120">
        <f t="shared" si="1"/>
        <v>0.9</v>
      </c>
      <c r="AI38" s="120">
        <f t="shared" si="1"/>
        <v>0.9</v>
      </c>
      <c r="AJ38" s="120">
        <f t="shared" si="1"/>
        <v>0.9</v>
      </c>
      <c r="AK38" s="120">
        <f t="shared" si="1"/>
        <v>0.9</v>
      </c>
    </row>
    <row r="40" spans="1:37">
      <c r="B40" s="102" t="s">
        <v>595</v>
      </c>
      <c r="G40" s="107">
        <f ca="1">-R14</f>
        <v>-74338327.214647442</v>
      </c>
    </row>
    <row r="41" spans="1:37">
      <c r="I41" s="121"/>
    </row>
    <row r="42" spans="1:37">
      <c r="B42" s="102" t="s">
        <v>509</v>
      </c>
      <c r="H42" s="107">
        <f t="shared" ref="H42:AK42" si="2">$M$12*(1+$G$19)^G37</f>
        <v>6394186.2600000007</v>
      </c>
      <c r="I42" s="107">
        <f t="shared" si="2"/>
        <v>6586011.8478000006</v>
      </c>
      <c r="J42" s="107">
        <f t="shared" si="2"/>
        <v>6783592.2032340001</v>
      </c>
      <c r="K42" s="107">
        <f t="shared" si="2"/>
        <v>6987099.9693310205</v>
      </c>
      <c r="L42" s="107">
        <f t="shared" si="2"/>
        <v>7196712.9684109511</v>
      </c>
      <c r="M42" s="107">
        <f t="shared" si="2"/>
        <v>7412614.3574632788</v>
      </c>
      <c r="N42" s="107">
        <f t="shared" si="2"/>
        <v>7634992.7881871779</v>
      </c>
      <c r="O42" s="107">
        <f t="shared" si="2"/>
        <v>7864042.5718327938</v>
      </c>
      <c r="P42" s="107">
        <f t="shared" si="2"/>
        <v>8099963.8489877768</v>
      </c>
      <c r="Q42" s="107">
        <f t="shared" si="2"/>
        <v>8342962.7644574102</v>
      </c>
      <c r="R42" s="107">
        <f t="shared" si="2"/>
        <v>8593251.647391133</v>
      </c>
      <c r="S42" s="107">
        <f t="shared" si="2"/>
        <v>8851049.1968128663</v>
      </c>
      <c r="T42" s="107">
        <f t="shared" si="2"/>
        <v>9116580.6727172509</v>
      </c>
      <c r="U42" s="107">
        <f t="shared" si="2"/>
        <v>9390078.0928987674</v>
      </c>
      <c r="V42" s="107">
        <f t="shared" si="2"/>
        <v>9671780.4356857315</v>
      </c>
      <c r="W42" s="107">
        <f t="shared" si="2"/>
        <v>9961933.848756304</v>
      </c>
      <c r="X42" s="107">
        <f t="shared" si="2"/>
        <v>10260791.864218993</v>
      </c>
      <c r="Y42" s="107">
        <f t="shared" si="2"/>
        <v>10568615.620145561</v>
      </c>
      <c r="Z42" s="107">
        <f t="shared" si="2"/>
        <v>10885674.088749928</v>
      </c>
      <c r="AA42" s="107">
        <f t="shared" si="2"/>
        <v>11212244.311412426</v>
      </c>
      <c r="AB42" s="107">
        <f t="shared" si="2"/>
        <v>11548611.640754798</v>
      </c>
      <c r="AC42" s="107">
        <f t="shared" si="2"/>
        <v>11895069.989977442</v>
      </c>
      <c r="AD42" s="107">
        <f t="shared" si="2"/>
        <v>12251922.089676766</v>
      </c>
      <c r="AE42" s="107">
        <f t="shared" si="2"/>
        <v>12619479.75236707</v>
      </c>
      <c r="AF42" s="107">
        <f t="shared" si="2"/>
        <v>12998064.14493808</v>
      </c>
      <c r="AG42" s="107">
        <f t="shared" si="2"/>
        <v>13388006.069286222</v>
      </c>
      <c r="AH42" s="107">
        <f t="shared" si="2"/>
        <v>13789646.25136481</v>
      </c>
      <c r="AI42" s="107">
        <f t="shared" si="2"/>
        <v>14203335.638905754</v>
      </c>
      <c r="AJ42" s="107">
        <f t="shared" si="2"/>
        <v>14629435.708072927</v>
      </c>
      <c r="AK42" s="107">
        <f t="shared" si="2"/>
        <v>15068318.779315112</v>
      </c>
    </row>
    <row r="43" spans="1:37">
      <c r="C43" s="102" t="s">
        <v>521</v>
      </c>
      <c r="H43" s="107">
        <f>-(1-H38)*H42</f>
        <v>-639418.62599999993</v>
      </c>
      <c r="I43" s="107">
        <f t="shared" ref="I43:AK43" si="3">-(1-I38)*I42</f>
        <v>-658601.18477999989</v>
      </c>
      <c r="J43" s="107">
        <f t="shared" si="3"/>
        <v>-678359.22032339987</v>
      </c>
      <c r="K43" s="107">
        <f t="shared" si="3"/>
        <v>-698709.99693310191</v>
      </c>
      <c r="L43" s="107">
        <f t="shared" si="3"/>
        <v>-719671.29684109497</v>
      </c>
      <c r="M43" s="107">
        <f t="shared" si="3"/>
        <v>-741261.43574632774</v>
      </c>
      <c r="N43" s="107">
        <f t="shared" si="3"/>
        <v>-763499.27881871758</v>
      </c>
      <c r="O43" s="107">
        <f t="shared" si="3"/>
        <v>-786404.25718327914</v>
      </c>
      <c r="P43" s="107">
        <f t="shared" si="3"/>
        <v>-809996.38489877747</v>
      </c>
      <c r="Q43" s="107">
        <f t="shared" si="3"/>
        <v>-834296.27644574083</v>
      </c>
      <c r="R43" s="107">
        <f t="shared" si="3"/>
        <v>-859325.16473911307</v>
      </c>
      <c r="S43" s="107">
        <f t="shared" si="3"/>
        <v>-885104.91968128644</v>
      </c>
      <c r="T43" s="107">
        <f t="shared" si="3"/>
        <v>-911658.06727172493</v>
      </c>
      <c r="U43" s="107">
        <f t="shared" si="3"/>
        <v>-939007.80928987649</v>
      </c>
      <c r="V43" s="107">
        <f t="shared" si="3"/>
        <v>-967178.04356857296</v>
      </c>
      <c r="W43" s="107">
        <f t="shared" si="3"/>
        <v>-996193.38487563014</v>
      </c>
      <c r="X43" s="107">
        <f t="shared" si="3"/>
        <v>-1026079.1864218991</v>
      </c>
      <c r="Y43" s="107">
        <f t="shared" si="3"/>
        <v>-1056861.5620145558</v>
      </c>
      <c r="Z43" s="107">
        <f t="shared" si="3"/>
        <v>-1088567.4088749925</v>
      </c>
      <c r="AA43" s="107">
        <f t="shared" si="3"/>
        <v>-1121224.4311412424</v>
      </c>
      <c r="AB43" s="107">
        <f t="shared" si="3"/>
        <v>-1154861.1640754796</v>
      </c>
      <c r="AC43" s="107">
        <f t="shared" si="3"/>
        <v>-1189506.9989977439</v>
      </c>
      <c r="AD43" s="107">
        <f t="shared" si="3"/>
        <v>-1225192.2089676764</v>
      </c>
      <c r="AE43" s="107">
        <f t="shared" si="3"/>
        <v>-1261947.9752367067</v>
      </c>
      <c r="AF43" s="107">
        <f t="shared" si="3"/>
        <v>-1299806.4144938076</v>
      </c>
      <c r="AG43" s="107">
        <f t="shared" si="3"/>
        <v>-1338800.6069286219</v>
      </c>
      <c r="AH43" s="107">
        <f t="shared" si="3"/>
        <v>-1378964.6251364807</v>
      </c>
      <c r="AI43" s="107">
        <f t="shared" si="3"/>
        <v>-1420333.5638905752</v>
      </c>
      <c r="AJ43" s="107">
        <f t="shared" si="3"/>
        <v>-1462943.5708072924</v>
      </c>
      <c r="AK43" s="107">
        <f t="shared" si="3"/>
        <v>-1506831.8779315108</v>
      </c>
    </row>
    <row r="44" spans="1:37">
      <c r="C44" s="102" t="s">
        <v>573</v>
      </c>
      <c r="H44" s="667">
        <v>0</v>
      </c>
      <c r="I44" s="667">
        <v>0</v>
      </c>
      <c r="J44" s="667">
        <v>0</v>
      </c>
      <c r="K44" s="667">
        <v>0</v>
      </c>
      <c r="L44" s="667">
        <v>0</v>
      </c>
      <c r="M44" s="667">
        <v>0</v>
      </c>
      <c r="N44" s="667">
        <v>0</v>
      </c>
      <c r="O44" s="667">
        <v>0</v>
      </c>
      <c r="P44" s="667">
        <v>0</v>
      </c>
      <c r="Q44" s="667">
        <v>0</v>
      </c>
      <c r="R44" s="667">
        <v>0</v>
      </c>
      <c r="S44" s="667">
        <v>0</v>
      </c>
      <c r="T44" s="667">
        <v>0</v>
      </c>
      <c r="U44" s="667">
        <v>0</v>
      </c>
      <c r="V44" s="667">
        <v>0</v>
      </c>
      <c r="W44" s="667">
        <v>0</v>
      </c>
      <c r="X44" s="667">
        <v>0</v>
      </c>
      <c r="Y44" s="667">
        <v>0</v>
      </c>
      <c r="Z44" s="667">
        <v>0</v>
      </c>
      <c r="AA44" s="667">
        <v>0</v>
      </c>
      <c r="AB44" s="667">
        <v>0</v>
      </c>
      <c r="AC44" s="667">
        <v>0</v>
      </c>
      <c r="AD44" s="667">
        <v>0</v>
      </c>
      <c r="AE44" s="667">
        <v>0</v>
      </c>
      <c r="AF44" s="667">
        <v>0</v>
      </c>
      <c r="AG44" s="667">
        <v>0</v>
      </c>
      <c r="AH44" s="667">
        <v>0</v>
      </c>
      <c r="AI44" s="667">
        <v>0</v>
      </c>
      <c r="AJ44" s="667">
        <v>0</v>
      </c>
      <c r="AK44" s="667">
        <v>0</v>
      </c>
    </row>
    <row r="45" spans="1:37">
      <c r="B45" s="111" t="s">
        <v>522</v>
      </c>
      <c r="C45" s="111"/>
      <c r="D45" s="111"/>
      <c r="E45" s="111"/>
      <c r="F45" s="111"/>
      <c r="G45" s="111"/>
      <c r="H45" s="112">
        <f>SUM(H42:H44)</f>
        <v>5754767.6340000005</v>
      </c>
      <c r="I45" s="112">
        <f t="shared" ref="I45:AK45" si="4">SUM(I42:I44)</f>
        <v>5927410.6630200008</v>
      </c>
      <c r="J45" s="112">
        <f t="shared" si="4"/>
        <v>6105232.9829106005</v>
      </c>
      <c r="K45" s="112">
        <f t="shared" si="4"/>
        <v>6288389.9723979188</v>
      </c>
      <c r="L45" s="112">
        <f t="shared" si="4"/>
        <v>6477041.6715698559</v>
      </c>
      <c r="M45" s="112">
        <f t="shared" si="4"/>
        <v>6671352.9217169508</v>
      </c>
      <c r="N45" s="112">
        <f t="shared" si="4"/>
        <v>6871493.5093684606</v>
      </c>
      <c r="O45" s="112">
        <f t="shared" si="4"/>
        <v>7077638.3146495149</v>
      </c>
      <c r="P45" s="112">
        <f t="shared" si="4"/>
        <v>7289967.4640889997</v>
      </c>
      <c r="Q45" s="112">
        <f t="shared" si="4"/>
        <v>7508666.4880116694</v>
      </c>
      <c r="R45" s="112">
        <f t="shared" si="4"/>
        <v>7733926.4826520197</v>
      </c>
      <c r="S45" s="112">
        <f t="shared" si="4"/>
        <v>7965944.2771315798</v>
      </c>
      <c r="T45" s="112">
        <f t="shared" si="4"/>
        <v>8204922.6054455256</v>
      </c>
      <c r="U45" s="112">
        <f t="shared" si="4"/>
        <v>8451070.2836088911</v>
      </c>
      <c r="V45" s="112">
        <f t="shared" si="4"/>
        <v>8704602.3921171576</v>
      </c>
      <c r="W45" s="112">
        <f t="shared" si="4"/>
        <v>8965740.4638806731</v>
      </c>
      <c r="X45" s="112">
        <f t="shared" si="4"/>
        <v>9234712.677797094</v>
      </c>
      <c r="Y45" s="112">
        <f t="shared" si="4"/>
        <v>9511754.0581310056</v>
      </c>
      <c r="Z45" s="112">
        <f t="shared" si="4"/>
        <v>9797106.6798749361</v>
      </c>
      <c r="AA45" s="112">
        <f t="shared" si="4"/>
        <v>10091019.880271183</v>
      </c>
      <c r="AB45" s="112">
        <f t="shared" si="4"/>
        <v>10393750.47667932</v>
      </c>
      <c r="AC45" s="112">
        <f t="shared" si="4"/>
        <v>10705562.990979698</v>
      </c>
      <c r="AD45" s="112">
        <f t="shared" si="4"/>
        <v>11026729.880709089</v>
      </c>
      <c r="AE45" s="112">
        <f t="shared" si="4"/>
        <v>11357531.777130364</v>
      </c>
      <c r="AF45" s="112">
        <f t="shared" si="4"/>
        <v>11698257.730444271</v>
      </c>
      <c r="AG45" s="112">
        <f t="shared" si="4"/>
        <v>12049205.462357599</v>
      </c>
      <c r="AH45" s="112">
        <f t="shared" si="4"/>
        <v>12410681.626228329</v>
      </c>
      <c r="AI45" s="112">
        <f t="shared" si="4"/>
        <v>12783002.07501518</v>
      </c>
      <c r="AJ45" s="112">
        <f t="shared" si="4"/>
        <v>13166492.137265634</v>
      </c>
      <c r="AK45" s="112">
        <f t="shared" si="4"/>
        <v>13561486.901383601</v>
      </c>
    </row>
    <row r="47" spans="1:37">
      <c r="B47" s="102" t="s">
        <v>413</v>
      </c>
    </row>
    <row r="48" spans="1:37">
      <c r="C48" s="102" t="str">
        <f>J17</f>
        <v>Repairs and Maintenance</v>
      </c>
      <c r="H48" s="107">
        <f t="shared" ref="H48:AK48" si="5">$M17*(1+$G$20)^G$37</f>
        <v>313645.50000000006</v>
      </c>
      <c r="I48" s="107">
        <f t="shared" si="5"/>
        <v>319918.41000000009</v>
      </c>
      <c r="J48" s="107">
        <f t="shared" si="5"/>
        <v>326316.77820000006</v>
      </c>
      <c r="K48" s="107">
        <f t="shared" si="5"/>
        <v>332843.11376400007</v>
      </c>
      <c r="L48" s="107">
        <f t="shared" si="5"/>
        <v>339499.97603928007</v>
      </c>
      <c r="M48" s="107">
        <f t="shared" si="5"/>
        <v>346289.97556006565</v>
      </c>
      <c r="N48" s="107">
        <f t="shared" si="5"/>
        <v>353215.77507126698</v>
      </c>
      <c r="O48" s="107">
        <f t="shared" si="5"/>
        <v>360280.09057269228</v>
      </c>
      <c r="P48" s="107">
        <f t="shared" si="5"/>
        <v>367485.69238414615</v>
      </c>
      <c r="Q48" s="107">
        <f t="shared" si="5"/>
        <v>374835.40623182908</v>
      </c>
      <c r="R48" s="107">
        <f t="shared" si="5"/>
        <v>382332.11435646564</v>
      </c>
      <c r="S48" s="107">
        <f t="shared" si="5"/>
        <v>389978.75664359488</v>
      </c>
      <c r="T48" s="107">
        <f t="shared" si="5"/>
        <v>397778.33177646686</v>
      </c>
      <c r="U48" s="107">
        <f t="shared" si="5"/>
        <v>405733.8984119962</v>
      </c>
      <c r="V48" s="107">
        <f t="shared" si="5"/>
        <v>413848.57638023613</v>
      </c>
      <c r="W48" s="107">
        <f t="shared" si="5"/>
        <v>422125.54790784075</v>
      </c>
      <c r="X48" s="107">
        <f t="shared" si="5"/>
        <v>430568.05886599765</v>
      </c>
      <c r="Y48" s="107">
        <f t="shared" si="5"/>
        <v>439179.4200433176</v>
      </c>
      <c r="Z48" s="107">
        <f t="shared" si="5"/>
        <v>447963.00844418391</v>
      </c>
      <c r="AA48" s="107">
        <f t="shared" si="5"/>
        <v>456922.26861306757</v>
      </c>
      <c r="AB48" s="107">
        <f t="shared" si="5"/>
        <v>466060.71398532897</v>
      </c>
      <c r="AC48" s="107">
        <f t="shared" si="5"/>
        <v>475381.92826503556</v>
      </c>
      <c r="AD48" s="107">
        <f t="shared" si="5"/>
        <v>484889.56683033629</v>
      </c>
      <c r="AE48" s="107">
        <f t="shared" si="5"/>
        <v>494587.3581669429</v>
      </c>
      <c r="AF48" s="107">
        <f t="shared" si="5"/>
        <v>504479.10533028177</v>
      </c>
      <c r="AG48" s="107">
        <f t="shared" si="5"/>
        <v>514568.68743688741</v>
      </c>
      <c r="AH48" s="107">
        <f t="shared" si="5"/>
        <v>524860.06118562527</v>
      </c>
      <c r="AI48" s="107">
        <f t="shared" si="5"/>
        <v>535357.26240933768</v>
      </c>
      <c r="AJ48" s="107">
        <f t="shared" si="5"/>
        <v>546064.40765752445</v>
      </c>
      <c r="AK48" s="107">
        <f t="shared" si="5"/>
        <v>556985.69581067492</v>
      </c>
    </row>
    <row r="49" spans="2:37">
      <c r="C49" s="102" t="str">
        <f>J18</f>
        <v>Administrative</v>
      </c>
      <c r="H49" s="107">
        <f t="shared" ref="H49:AK49" si="6">$M18*(1+$G$20)^G$37</f>
        <v>313645.50000000006</v>
      </c>
      <c r="I49" s="107">
        <f t="shared" si="6"/>
        <v>319918.41000000009</v>
      </c>
      <c r="J49" s="107">
        <f t="shared" si="6"/>
        <v>326316.77820000006</v>
      </c>
      <c r="K49" s="107">
        <f t="shared" si="6"/>
        <v>332843.11376400007</v>
      </c>
      <c r="L49" s="107">
        <f t="shared" si="6"/>
        <v>339499.97603928007</v>
      </c>
      <c r="M49" s="107">
        <f t="shared" si="6"/>
        <v>346289.97556006565</v>
      </c>
      <c r="N49" s="107">
        <f t="shared" si="6"/>
        <v>353215.77507126698</v>
      </c>
      <c r="O49" s="107">
        <f t="shared" si="6"/>
        <v>360280.09057269228</v>
      </c>
      <c r="P49" s="107">
        <f t="shared" si="6"/>
        <v>367485.69238414615</v>
      </c>
      <c r="Q49" s="107">
        <f t="shared" si="6"/>
        <v>374835.40623182908</v>
      </c>
      <c r="R49" s="107">
        <f t="shared" si="6"/>
        <v>382332.11435646564</v>
      </c>
      <c r="S49" s="107">
        <f t="shared" si="6"/>
        <v>389978.75664359488</v>
      </c>
      <c r="T49" s="107">
        <f t="shared" si="6"/>
        <v>397778.33177646686</v>
      </c>
      <c r="U49" s="107">
        <f t="shared" si="6"/>
        <v>405733.8984119962</v>
      </c>
      <c r="V49" s="107">
        <f t="shared" si="6"/>
        <v>413848.57638023613</v>
      </c>
      <c r="W49" s="107">
        <f t="shared" si="6"/>
        <v>422125.54790784075</v>
      </c>
      <c r="X49" s="107">
        <f t="shared" si="6"/>
        <v>430568.05886599765</v>
      </c>
      <c r="Y49" s="107">
        <f t="shared" si="6"/>
        <v>439179.4200433176</v>
      </c>
      <c r="Z49" s="107">
        <f t="shared" si="6"/>
        <v>447963.00844418391</v>
      </c>
      <c r="AA49" s="107">
        <f t="shared" si="6"/>
        <v>456922.26861306757</v>
      </c>
      <c r="AB49" s="107">
        <f t="shared" si="6"/>
        <v>466060.71398532897</v>
      </c>
      <c r="AC49" s="107">
        <f t="shared" si="6"/>
        <v>475381.92826503556</v>
      </c>
      <c r="AD49" s="107">
        <f t="shared" si="6"/>
        <v>484889.56683033629</v>
      </c>
      <c r="AE49" s="107">
        <f t="shared" si="6"/>
        <v>494587.3581669429</v>
      </c>
      <c r="AF49" s="107">
        <f t="shared" si="6"/>
        <v>504479.10533028177</v>
      </c>
      <c r="AG49" s="107">
        <f t="shared" si="6"/>
        <v>514568.68743688741</v>
      </c>
      <c r="AH49" s="107">
        <f t="shared" si="6"/>
        <v>524860.06118562527</v>
      </c>
      <c r="AI49" s="107">
        <f t="shared" si="6"/>
        <v>535357.26240933768</v>
      </c>
      <c r="AJ49" s="107">
        <f t="shared" si="6"/>
        <v>546064.40765752445</v>
      </c>
      <c r="AK49" s="107">
        <f t="shared" si="6"/>
        <v>556985.69581067492</v>
      </c>
    </row>
    <row r="50" spans="2:37">
      <c r="C50" s="102" t="str">
        <f>J19</f>
        <v>Utilities</v>
      </c>
      <c r="H50" s="107">
        <f t="shared" ref="H50:AK51" si="7">$M19*(1+$G$20)^G$37</f>
        <v>418194.00000000006</v>
      </c>
      <c r="I50" s="107">
        <f t="shared" si="7"/>
        <v>426557.88000000006</v>
      </c>
      <c r="J50" s="107">
        <f t="shared" si="7"/>
        <v>435089.03760000004</v>
      </c>
      <c r="K50" s="107">
        <f t="shared" si="7"/>
        <v>443790.81835200003</v>
      </c>
      <c r="L50" s="107">
        <f t="shared" si="7"/>
        <v>452666.63471904007</v>
      </c>
      <c r="M50" s="107">
        <f t="shared" si="7"/>
        <v>461719.96741342085</v>
      </c>
      <c r="N50" s="107">
        <f t="shared" si="7"/>
        <v>470954.36676168931</v>
      </c>
      <c r="O50" s="107">
        <f t="shared" si="7"/>
        <v>480373.454096923</v>
      </c>
      <c r="P50" s="107">
        <f t="shared" si="7"/>
        <v>489980.9231788615</v>
      </c>
      <c r="Q50" s="107">
        <f t="shared" si="7"/>
        <v>499780.54164243874</v>
      </c>
      <c r="R50" s="107">
        <f t="shared" si="7"/>
        <v>509776.1524752875</v>
      </c>
      <c r="S50" s="107">
        <f t="shared" si="7"/>
        <v>519971.67552479316</v>
      </c>
      <c r="T50" s="107">
        <f t="shared" si="7"/>
        <v>530371.10903528915</v>
      </c>
      <c r="U50" s="107">
        <f t="shared" si="7"/>
        <v>540978.53121599485</v>
      </c>
      <c r="V50" s="107">
        <f t="shared" si="7"/>
        <v>551798.1018403148</v>
      </c>
      <c r="W50" s="107">
        <f t="shared" si="7"/>
        <v>562834.06387712096</v>
      </c>
      <c r="X50" s="107">
        <f t="shared" si="7"/>
        <v>574090.74515466345</v>
      </c>
      <c r="Y50" s="107">
        <f t="shared" si="7"/>
        <v>585572.56005775684</v>
      </c>
      <c r="Z50" s="107">
        <f t="shared" si="7"/>
        <v>597284.01125891192</v>
      </c>
      <c r="AA50" s="107">
        <f t="shared" si="7"/>
        <v>609229.69148409006</v>
      </c>
      <c r="AB50" s="107">
        <f t="shared" si="7"/>
        <v>621414.28531377192</v>
      </c>
      <c r="AC50" s="107">
        <f t="shared" si="7"/>
        <v>633842.5710200473</v>
      </c>
      <c r="AD50" s="107">
        <f t="shared" si="7"/>
        <v>646519.42244044831</v>
      </c>
      <c r="AE50" s="107">
        <f t="shared" si="7"/>
        <v>659449.81088925723</v>
      </c>
      <c r="AF50" s="107">
        <f t="shared" si="7"/>
        <v>672638.8071070424</v>
      </c>
      <c r="AG50" s="107">
        <f t="shared" si="7"/>
        <v>686091.58324918326</v>
      </c>
      <c r="AH50" s="107">
        <f t="shared" si="7"/>
        <v>699813.4149141669</v>
      </c>
      <c r="AI50" s="107">
        <f t="shared" si="7"/>
        <v>713809.68321245012</v>
      </c>
      <c r="AJ50" s="107">
        <f t="shared" si="7"/>
        <v>728085.87687669927</v>
      </c>
      <c r="AK50" s="107">
        <f t="shared" si="7"/>
        <v>742647.59441423323</v>
      </c>
    </row>
    <row r="51" spans="2:37">
      <c r="C51" s="102" t="str">
        <f>J20</f>
        <v>Real Estate Taxes</v>
      </c>
      <c r="H51" s="107">
        <f t="shared" si="7"/>
        <v>383651.17560000002</v>
      </c>
      <c r="I51" s="107">
        <f t="shared" si="7"/>
        <v>391324.199112</v>
      </c>
      <c r="J51" s="107">
        <f t="shared" si="7"/>
        <v>399150.68309424003</v>
      </c>
      <c r="K51" s="107">
        <f t="shared" si="7"/>
        <v>407133.69675612479</v>
      </c>
      <c r="L51" s="107">
        <f t="shared" si="7"/>
        <v>415276.37069124728</v>
      </c>
      <c r="M51" s="107">
        <f t="shared" si="7"/>
        <v>423581.89810507227</v>
      </c>
      <c r="N51" s="107">
        <f t="shared" si="7"/>
        <v>432053.53606717376</v>
      </c>
      <c r="O51" s="107">
        <f t="shared" si="7"/>
        <v>440694.60678851709</v>
      </c>
      <c r="P51" s="107">
        <f t="shared" si="7"/>
        <v>449508.4989242875</v>
      </c>
      <c r="Q51" s="107">
        <f t="shared" si="7"/>
        <v>458498.66890277324</v>
      </c>
      <c r="R51" s="107">
        <f t="shared" si="7"/>
        <v>467668.64228082873</v>
      </c>
      <c r="S51" s="107">
        <f t="shared" si="7"/>
        <v>477022.01512644521</v>
      </c>
      <c r="T51" s="107">
        <f t="shared" si="7"/>
        <v>486562.45542897418</v>
      </c>
      <c r="U51" s="107">
        <f t="shared" si="7"/>
        <v>496293.70453755365</v>
      </c>
      <c r="V51" s="107">
        <f t="shared" si="7"/>
        <v>506219.57862830476</v>
      </c>
      <c r="W51" s="107">
        <f t="shared" si="7"/>
        <v>516343.97020087071</v>
      </c>
      <c r="X51" s="107">
        <f t="shared" si="7"/>
        <v>526670.84960488824</v>
      </c>
      <c r="Y51" s="107">
        <f t="shared" si="7"/>
        <v>537204.2665969861</v>
      </c>
      <c r="Z51" s="107">
        <f t="shared" si="7"/>
        <v>547948.35192892572</v>
      </c>
      <c r="AA51" s="107">
        <f t="shared" si="7"/>
        <v>558907.31896750419</v>
      </c>
      <c r="AB51" s="107">
        <f t="shared" si="7"/>
        <v>570085.4653468543</v>
      </c>
      <c r="AC51" s="107">
        <f t="shared" si="7"/>
        <v>581487.17465379136</v>
      </c>
      <c r="AD51" s="107">
        <f t="shared" si="7"/>
        <v>593116.91814686719</v>
      </c>
      <c r="AE51" s="107">
        <f t="shared" si="7"/>
        <v>604979.25650980452</v>
      </c>
      <c r="AF51" s="107">
        <f t="shared" si="7"/>
        <v>617078.84164000058</v>
      </c>
      <c r="AG51" s="107">
        <f t="shared" si="7"/>
        <v>629420.41847280064</v>
      </c>
      <c r="AH51" s="107">
        <f t="shared" si="7"/>
        <v>642008.82684225671</v>
      </c>
      <c r="AI51" s="107">
        <f t="shared" si="7"/>
        <v>654849.00337910175</v>
      </c>
      <c r="AJ51" s="107">
        <f t="shared" si="7"/>
        <v>667945.98344668385</v>
      </c>
      <c r="AK51" s="107">
        <f t="shared" si="7"/>
        <v>681304.90311561746</v>
      </c>
    </row>
    <row r="52" spans="2:37">
      <c r="C52" s="102" t="str">
        <f>J21</f>
        <v>Property Management Fee (% gross revenue)</v>
      </c>
      <c r="H52" s="107">
        <f t="shared" ref="H52:AK52" si="8">H42*$N$21</f>
        <v>191825.58780000001</v>
      </c>
      <c r="I52" s="107">
        <f t="shared" si="8"/>
        <v>197580.355434</v>
      </c>
      <c r="J52" s="107">
        <f t="shared" si="8"/>
        <v>203507.76609702001</v>
      </c>
      <c r="K52" s="107">
        <f t="shared" si="8"/>
        <v>209612.9990799306</v>
      </c>
      <c r="L52" s="107">
        <f t="shared" si="8"/>
        <v>215901.38905232854</v>
      </c>
      <c r="M52" s="107">
        <f t="shared" si="8"/>
        <v>222378.43072389835</v>
      </c>
      <c r="N52" s="107">
        <f t="shared" si="8"/>
        <v>229049.78364561533</v>
      </c>
      <c r="O52" s="107">
        <f t="shared" si="8"/>
        <v>235921.27715498381</v>
      </c>
      <c r="P52" s="107">
        <f t="shared" si="8"/>
        <v>242998.9154696333</v>
      </c>
      <c r="Q52" s="107">
        <f t="shared" si="8"/>
        <v>250288.88293372229</v>
      </c>
      <c r="R52" s="107">
        <f t="shared" si="8"/>
        <v>257797.54942173397</v>
      </c>
      <c r="S52" s="107">
        <f t="shared" si="8"/>
        <v>265531.47590438597</v>
      </c>
      <c r="T52" s="107">
        <f t="shared" si="8"/>
        <v>273497.42018151749</v>
      </c>
      <c r="U52" s="107">
        <f t="shared" si="8"/>
        <v>281702.34278696304</v>
      </c>
      <c r="V52" s="107">
        <f t="shared" si="8"/>
        <v>290153.41307057196</v>
      </c>
      <c r="W52" s="107">
        <f t="shared" si="8"/>
        <v>298858.0154626891</v>
      </c>
      <c r="X52" s="107">
        <f t="shared" si="8"/>
        <v>307823.75592656981</v>
      </c>
      <c r="Y52" s="107">
        <f t="shared" si="8"/>
        <v>317058.46860436682</v>
      </c>
      <c r="Z52" s="107">
        <f t="shared" si="8"/>
        <v>326570.22266249784</v>
      </c>
      <c r="AA52" s="107">
        <f t="shared" si="8"/>
        <v>336367.32934237277</v>
      </c>
      <c r="AB52" s="107">
        <f t="shared" si="8"/>
        <v>346458.34922264394</v>
      </c>
      <c r="AC52" s="107">
        <f t="shared" si="8"/>
        <v>356852.09969932324</v>
      </c>
      <c r="AD52" s="107">
        <f t="shared" si="8"/>
        <v>367557.66269030294</v>
      </c>
      <c r="AE52" s="107">
        <f t="shared" si="8"/>
        <v>378584.39257101208</v>
      </c>
      <c r="AF52" s="107">
        <f t="shared" si="8"/>
        <v>389941.92434814235</v>
      </c>
      <c r="AG52" s="107">
        <f t="shared" si="8"/>
        <v>401640.18207858666</v>
      </c>
      <c r="AH52" s="107">
        <f t="shared" si="8"/>
        <v>413689.38754094427</v>
      </c>
      <c r="AI52" s="107">
        <f t="shared" si="8"/>
        <v>426100.06916717259</v>
      </c>
      <c r="AJ52" s="107">
        <f t="shared" si="8"/>
        <v>438883.07124218781</v>
      </c>
      <c r="AK52" s="107">
        <f t="shared" si="8"/>
        <v>452049.56337945332</v>
      </c>
    </row>
    <row r="53" spans="2:37">
      <c r="B53" s="111" t="s">
        <v>414</v>
      </c>
      <c r="C53" s="111"/>
      <c r="D53" s="111"/>
      <c r="E53" s="111"/>
      <c r="F53" s="111"/>
      <c r="G53" s="111"/>
      <c r="H53" s="112">
        <f t="shared" ref="H53:R53" si="9">SUM(H48:H52)</f>
        <v>1620961.7634000003</v>
      </c>
      <c r="I53" s="112">
        <f t="shared" si="9"/>
        <v>1655299.2545460002</v>
      </c>
      <c r="J53" s="112">
        <f t="shared" si="9"/>
        <v>1690381.0431912602</v>
      </c>
      <c r="K53" s="112">
        <f t="shared" si="9"/>
        <v>1726223.7417160554</v>
      </c>
      <c r="L53" s="112">
        <f t="shared" si="9"/>
        <v>1762844.3465411761</v>
      </c>
      <c r="M53" s="112">
        <f t="shared" si="9"/>
        <v>1800260.2473625229</v>
      </c>
      <c r="N53" s="112">
        <f t="shared" si="9"/>
        <v>1838489.2366170124</v>
      </c>
      <c r="O53" s="112">
        <f t="shared" si="9"/>
        <v>1877549.5191858083</v>
      </c>
      <c r="P53" s="112">
        <f t="shared" si="9"/>
        <v>1917459.7223410746</v>
      </c>
      <c r="Q53" s="112">
        <f t="shared" si="9"/>
        <v>1958238.9059425925</v>
      </c>
      <c r="R53" s="112">
        <f t="shared" si="9"/>
        <v>1999906.5728907813</v>
      </c>
      <c r="S53" s="112">
        <f t="shared" ref="S53:AK53" si="10">SUM(S48:S52)</f>
        <v>2042482.6798428143</v>
      </c>
      <c r="T53" s="112">
        <f t="shared" si="10"/>
        <v>2085987.6481987145</v>
      </c>
      <c r="U53" s="112">
        <f t="shared" si="10"/>
        <v>2130442.3753645038</v>
      </c>
      <c r="V53" s="112">
        <f t="shared" si="10"/>
        <v>2175868.246299664</v>
      </c>
      <c r="W53" s="112">
        <f t="shared" si="10"/>
        <v>2222287.1453563622</v>
      </c>
      <c r="X53" s="112">
        <f t="shared" si="10"/>
        <v>2269721.4684181171</v>
      </c>
      <c r="Y53" s="112">
        <f t="shared" si="10"/>
        <v>2318194.1353457449</v>
      </c>
      <c r="Z53" s="112">
        <f t="shared" si="10"/>
        <v>2367728.6027387031</v>
      </c>
      <c r="AA53" s="112">
        <f t="shared" si="10"/>
        <v>2418348.8770201025</v>
      </c>
      <c r="AB53" s="112">
        <f t="shared" si="10"/>
        <v>2470079.527853928</v>
      </c>
      <c r="AC53" s="112">
        <f t="shared" si="10"/>
        <v>2522945.7019032328</v>
      </c>
      <c r="AD53" s="112">
        <f t="shared" si="10"/>
        <v>2576973.1369382911</v>
      </c>
      <c r="AE53" s="112">
        <f t="shared" si="10"/>
        <v>2632188.1763039595</v>
      </c>
      <c r="AF53" s="112">
        <f t="shared" si="10"/>
        <v>2688617.783755749</v>
      </c>
      <c r="AG53" s="112">
        <f t="shared" si="10"/>
        <v>2746289.5586743457</v>
      </c>
      <c r="AH53" s="112">
        <f t="shared" si="10"/>
        <v>2805231.7516686185</v>
      </c>
      <c r="AI53" s="112">
        <f t="shared" si="10"/>
        <v>2865473.2805773998</v>
      </c>
      <c r="AJ53" s="112">
        <f t="shared" si="10"/>
        <v>2927043.7468806198</v>
      </c>
      <c r="AK53" s="112">
        <f t="shared" si="10"/>
        <v>2989973.4525306541</v>
      </c>
    </row>
    <row r="55" spans="2:37">
      <c r="B55" s="102" t="s">
        <v>524</v>
      </c>
      <c r="H55" s="107">
        <f t="shared" ref="H55:AK55" si="11">H45-H53</f>
        <v>4133805.8706</v>
      </c>
      <c r="I55" s="107">
        <f t="shared" si="11"/>
        <v>4272111.4084740002</v>
      </c>
      <c r="J55" s="107">
        <f t="shared" si="11"/>
        <v>4414851.9397193398</v>
      </c>
      <c r="K55" s="107">
        <f t="shared" si="11"/>
        <v>4562166.2306818636</v>
      </c>
      <c r="L55" s="107">
        <f t="shared" si="11"/>
        <v>4714197.3250286803</v>
      </c>
      <c r="M55" s="107">
        <f t="shared" si="11"/>
        <v>4871092.6743544284</v>
      </c>
      <c r="N55" s="107">
        <f t="shared" si="11"/>
        <v>5033004.2727514487</v>
      </c>
      <c r="O55" s="107">
        <f t="shared" si="11"/>
        <v>5200088.7954637064</v>
      </c>
      <c r="P55" s="107">
        <f t="shared" si="11"/>
        <v>5372507.7417479251</v>
      </c>
      <c r="Q55" s="107">
        <f t="shared" si="11"/>
        <v>5550427.5820690766</v>
      </c>
      <c r="R55" s="107">
        <f t="shared" si="11"/>
        <v>5734019.9097612388</v>
      </c>
      <c r="S55" s="107">
        <f t="shared" si="11"/>
        <v>5923461.597288765</v>
      </c>
      <c r="T55" s="107">
        <f t="shared" si="11"/>
        <v>6118934.9572468111</v>
      </c>
      <c r="U55" s="107">
        <f t="shared" si="11"/>
        <v>6320627.9082443872</v>
      </c>
      <c r="V55" s="107">
        <f t="shared" si="11"/>
        <v>6528734.145817494</v>
      </c>
      <c r="W55" s="107">
        <f t="shared" si="11"/>
        <v>6743453.3185243104</v>
      </c>
      <c r="X55" s="107">
        <f t="shared" si="11"/>
        <v>6964991.2093789764</v>
      </c>
      <c r="Y55" s="107">
        <f t="shared" si="11"/>
        <v>7193559.9227852607</v>
      </c>
      <c r="Z55" s="107">
        <f t="shared" si="11"/>
        <v>7429378.0771362334</v>
      </c>
      <c r="AA55" s="107">
        <f t="shared" si="11"/>
        <v>7672671.0032510813</v>
      </c>
      <c r="AB55" s="107">
        <f t="shared" si="11"/>
        <v>7923670.948825391</v>
      </c>
      <c r="AC55" s="107">
        <f t="shared" si="11"/>
        <v>8182617.2890764643</v>
      </c>
      <c r="AD55" s="107">
        <f t="shared" si="11"/>
        <v>8449756.7437707987</v>
      </c>
      <c r="AE55" s="107">
        <f t="shared" si="11"/>
        <v>8725343.600826405</v>
      </c>
      <c r="AF55" s="107">
        <f t="shared" si="11"/>
        <v>9009639.9466885217</v>
      </c>
      <c r="AG55" s="107">
        <f t="shared" si="11"/>
        <v>9302915.9036832526</v>
      </c>
      <c r="AH55" s="107">
        <f t="shared" si="11"/>
        <v>9605449.8745597098</v>
      </c>
      <c r="AI55" s="107">
        <f t="shared" si="11"/>
        <v>9917528.794437781</v>
      </c>
      <c r="AJ55" s="107">
        <f t="shared" si="11"/>
        <v>10239448.390385013</v>
      </c>
      <c r="AK55" s="107">
        <f t="shared" si="11"/>
        <v>10571513.448852947</v>
      </c>
    </row>
    <row r="57" spans="2:37">
      <c r="B57" s="102" t="s">
        <v>582</v>
      </c>
    </row>
    <row r="58" spans="2:37">
      <c r="C58" s="102" t="s">
        <v>583</v>
      </c>
      <c r="H58" s="107">
        <f>-IF($G$27=10,SUM(H90:R90)*G12,SUM(H90:L90)*$G$12)</f>
        <v>-4913725.873625733</v>
      </c>
    </row>
    <row r="59" spans="2:37">
      <c r="C59" s="102" t="s">
        <v>584</v>
      </c>
      <c r="H59" s="107">
        <f>-G22*G12</f>
        <v>-3136455.0000000005</v>
      </c>
    </row>
    <row r="61" spans="2:37">
      <c r="B61" s="102" t="s">
        <v>6</v>
      </c>
      <c r="G61" s="107">
        <f t="shared" ref="G61:R61" ca="1" si="12">IF(G37&lt;=$G$27+1,G40+G55+SUM(G58:G59),0)</f>
        <v>-74338327.214647442</v>
      </c>
      <c r="H61" s="107">
        <f t="shared" si="12"/>
        <v>-3916375.0030257329</v>
      </c>
      <c r="I61" s="107">
        <f t="shared" si="12"/>
        <v>4272111.4084740002</v>
      </c>
      <c r="J61" s="107">
        <f t="shared" si="12"/>
        <v>4414851.9397193398</v>
      </c>
      <c r="K61" s="107">
        <f t="shared" si="12"/>
        <v>4562166.2306818636</v>
      </c>
      <c r="L61" s="107">
        <f t="shared" si="12"/>
        <v>4714197.3250286803</v>
      </c>
      <c r="M61" s="107">
        <f t="shared" si="12"/>
        <v>4871092.6743544284</v>
      </c>
      <c r="N61" s="107">
        <f t="shared" si="12"/>
        <v>5033004.2727514487</v>
      </c>
      <c r="O61" s="107">
        <f t="shared" si="12"/>
        <v>5200088.7954637064</v>
      </c>
      <c r="P61" s="107">
        <f t="shared" si="12"/>
        <v>5372507.7417479251</v>
      </c>
      <c r="Q61" s="107">
        <f t="shared" si="12"/>
        <v>5550427.5820690766</v>
      </c>
      <c r="R61" s="107">
        <f t="shared" si="12"/>
        <v>5734019.9097612388</v>
      </c>
      <c r="S61" s="107">
        <f t="shared" ref="S61:AK61" si="13">IF(S37&lt;=$G$27+1,S40+S55+SUM(S58:S59),0)</f>
        <v>0</v>
      </c>
      <c r="T61" s="107">
        <f t="shared" si="13"/>
        <v>0</v>
      </c>
      <c r="U61" s="107">
        <f t="shared" si="13"/>
        <v>0</v>
      </c>
      <c r="V61" s="107">
        <f t="shared" si="13"/>
        <v>0</v>
      </c>
      <c r="W61" s="107">
        <f t="shared" si="13"/>
        <v>0</v>
      </c>
      <c r="X61" s="107">
        <f t="shared" si="13"/>
        <v>0</v>
      </c>
      <c r="Y61" s="107">
        <f t="shared" si="13"/>
        <v>0</v>
      </c>
      <c r="Z61" s="107">
        <f t="shared" si="13"/>
        <v>0</v>
      </c>
      <c r="AA61" s="107">
        <f t="shared" si="13"/>
        <v>0</v>
      </c>
      <c r="AB61" s="107">
        <f t="shared" si="13"/>
        <v>0</v>
      </c>
      <c r="AC61" s="107">
        <f t="shared" si="13"/>
        <v>0</v>
      </c>
      <c r="AD61" s="107">
        <f t="shared" si="13"/>
        <v>0</v>
      </c>
      <c r="AE61" s="107">
        <f t="shared" si="13"/>
        <v>0</v>
      </c>
      <c r="AF61" s="107">
        <f t="shared" si="13"/>
        <v>0</v>
      </c>
      <c r="AG61" s="107">
        <f t="shared" si="13"/>
        <v>0</v>
      </c>
      <c r="AH61" s="107">
        <f t="shared" si="13"/>
        <v>0</v>
      </c>
      <c r="AI61" s="107">
        <f t="shared" si="13"/>
        <v>0</v>
      </c>
      <c r="AJ61" s="107">
        <f t="shared" si="13"/>
        <v>0</v>
      </c>
      <c r="AK61" s="107">
        <f t="shared" si="13"/>
        <v>0</v>
      </c>
    </row>
    <row r="62" spans="2:37"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</row>
    <row r="63" spans="2:37">
      <c r="B63" s="102" t="s">
        <v>525</v>
      </c>
      <c r="H63" s="107">
        <f t="shared" ref="H63:AJ63" si="14">IF(H37=$G$27,I61/$G$25,0)</f>
        <v>0</v>
      </c>
      <c r="I63" s="107">
        <f t="shared" si="14"/>
        <v>0</v>
      </c>
      <c r="J63" s="107">
        <f t="shared" si="14"/>
        <v>0</v>
      </c>
      <c r="K63" s="107">
        <f t="shared" si="14"/>
        <v>0</v>
      </c>
      <c r="L63" s="107">
        <f t="shared" si="14"/>
        <v>0</v>
      </c>
      <c r="M63" s="107">
        <f t="shared" si="14"/>
        <v>0</v>
      </c>
      <c r="N63" s="107">
        <f t="shared" si="14"/>
        <v>0</v>
      </c>
      <c r="O63" s="107">
        <f t="shared" si="14"/>
        <v>0</v>
      </c>
      <c r="P63" s="107">
        <f t="shared" si="14"/>
        <v>0</v>
      </c>
      <c r="Q63" s="107">
        <f t="shared" si="14"/>
        <v>114680398.19522478</v>
      </c>
      <c r="R63" s="107">
        <f t="shared" si="14"/>
        <v>0</v>
      </c>
      <c r="S63" s="107">
        <f t="shared" si="14"/>
        <v>0</v>
      </c>
      <c r="T63" s="107">
        <f t="shared" si="14"/>
        <v>0</v>
      </c>
      <c r="U63" s="107">
        <f t="shared" si="14"/>
        <v>0</v>
      </c>
      <c r="V63" s="107">
        <f t="shared" si="14"/>
        <v>0</v>
      </c>
      <c r="W63" s="107">
        <f t="shared" si="14"/>
        <v>0</v>
      </c>
      <c r="X63" s="107">
        <f t="shared" si="14"/>
        <v>0</v>
      </c>
      <c r="Y63" s="107">
        <f t="shared" si="14"/>
        <v>0</v>
      </c>
      <c r="Z63" s="107">
        <f t="shared" si="14"/>
        <v>0</v>
      </c>
      <c r="AA63" s="107">
        <f t="shared" si="14"/>
        <v>0</v>
      </c>
      <c r="AB63" s="107">
        <f t="shared" si="14"/>
        <v>0</v>
      </c>
      <c r="AC63" s="107">
        <f t="shared" si="14"/>
        <v>0</v>
      </c>
      <c r="AD63" s="107">
        <f t="shared" si="14"/>
        <v>0</v>
      </c>
      <c r="AE63" s="107">
        <f t="shared" si="14"/>
        <v>0</v>
      </c>
      <c r="AF63" s="107">
        <f t="shared" si="14"/>
        <v>0</v>
      </c>
      <c r="AG63" s="107">
        <f t="shared" si="14"/>
        <v>0</v>
      </c>
      <c r="AH63" s="107">
        <f t="shared" si="14"/>
        <v>0</v>
      </c>
      <c r="AI63" s="107">
        <f t="shared" si="14"/>
        <v>0</v>
      </c>
      <c r="AJ63" s="107">
        <f t="shared" si="14"/>
        <v>0</v>
      </c>
      <c r="AK63" s="107">
        <f>IF(AK37=$G$27,#REF!/$G$25,0)</f>
        <v>0</v>
      </c>
    </row>
    <row r="64" spans="2:37">
      <c r="B64" s="102" t="s">
        <v>393</v>
      </c>
      <c r="H64" s="107">
        <f>-H63*$G$28</f>
        <v>0</v>
      </c>
      <c r="I64" s="107">
        <f t="shared" ref="I64:AK64" si="15">-I63*$G$28</f>
        <v>0</v>
      </c>
      <c r="J64" s="107">
        <f t="shared" si="15"/>
        <v>0</v>
      </c>
      <c r="K64" s="107">
        <f t="shared" si="15"/>
        <v>0</v>
      </c>
      <c r="L64" s="107">
        <f t="shared" si="15"/>
        <v>0</v>
      </c>
      <c r="M64" s="107">
        <f t="shared" si="15"/>
        <v>0</v>
      </c>
      <c r="N64" s="107">
        <f t="shared" si="15"/>
        <v>0</v>
      </c>
      <c r="O64" s="107">
        <f t="shared" si="15"/>
        <v>0</v>
      </c>
      <c r="P64" s="107">
        <f t="shared" si="15"/>
        <v>0</v>
      </c>
      <c r="Q64" s="107">
        <f t="shared" si="15"/>
        <v>0</v>
      </c>
      <c r="R64" s="107">
        <f t="shared" si="15"/>
        <v>0</v>
      </c>
      <c r="S64" s="107">
        <f t="shared" si="15"/>
        <v>0</v>
      </c>
      <c r="T64" s="107">
        <f t="shared" si="15"/>
        <v>0</v>
      </c>
      <c r="U64" s="107">
        <f t="shared" si="15"/>
        <v>0</v>
      </c>
      <c r="V64" s="107">
        <f t="shared" si="15"/>
        <v>0</v>
      </c>
      <c r="W64" s="107">
        <f t="shared" si="15"/>
        <v>0</v>
      </c>
      <c r="X64" s="107">
        <f t="shared" si="15"/>
        <v>0</v>
      </c>
      <c r="Y64" s="107">
        <f t="shared" si="15"/>
        <v>0</v>
      </c>
      <c r="Z64" s="107">
        <f t="shared" si="15"/>
        <v>0</v>
      </c>
      <c r="AA64" s="107">
        <f t="shared" si="15"/>
        <v>0</v>
      </c>
      <c r="AB64" s="107">
        <f t="shared" si="15"/>
        <v>0</v>
      </c>
      <c r="AC64" s="107">
        <f t="shared" si="15"/>
        <v>0</v>
      </c>
      <c r="AD64" s="107">
        <f t="shared" si="15"/>
        <v>0</v>
      </c>
      <c r="AE64" s="107">
        <f t="shared" si="15"/>
        <v>0</v>
      </c>
      <c r="AF64" s="107">
        <f t="shared" si="15"/>
        <v>0</v>
      </c>
      <c r="AG64" s="107">
        <f t="shared" si="15"/>
        <v>0</v>
      </c>
      <c r="AH64" s="107">
        <f t="shared" si="15"/>
        <v>0</v>
      </c>
      <c r="AI64" s="107">
        <f t="shared" si="15"/>
        <v>0</v>
      </c>
      <c r="AJ64" s="107">
        <f t="shared" si="15"/>
        <v>0</v>
      </c>
      <c r="AK64" s="107">
        <f t="shared" si="15"/>
        <v>0</v>
      </c>
    </row>
    <row r="65" spans="2:37">
      <c r="B65" s="111" t="s">
        <v>526</v>
      </c>
      <c r="C65" s="111"/>
      <c r="D65" s="111"/>
      <c r="E65" s="111"/>
      <c r="F65" s="111"/>
      <c r="G65" s="112">
        <f ca="1">SUM(G61:G64)</f>
        <v>-74338327.214647442</v>
      </c>
      <c r="H65" s="112">
        <f t="shared" ref="H65:AK65" si="16">SUM(H61:H64)</f>
        <v>-3916375.0030257329</v>
      </c>
      <c r="I65" s="112">
        <f t="shared" si="16"/>
        <v>4272111.4084740002</v>
      </c>
      <c r="J65" s="112">
        <f t="shared" si="16"/>
        <v>4414851.9397193398</v>
      </c>
      <c r="K65" s="112">
        <f t="shared" si="16"/>
        <v>4562166.2306818636</v>
      </c>
      <c r="L65" s="112">
        <f t="shared" si="16"/>
        <v>4714197.3250286803</v>
      </c>
      <c r="M65" s="112">
        <f t="shared" si="16"/>
        <v>4871092.6743544284</v>
      </c>
      <c r="N65" s="112">
        <f t="shared" si="16"/>
        <v>5033004.2727514487</v>
      </c>
      <c r="O65" s="112">
        <f t="shared" si="16"/>
        <v>5200088.7954637064</v>
      </c>
      <c r="P65" s="112">
        <f t="shared" si="16"/>
        <v>5372507.7417479251</v>
      </c>
      <c r="Q65" s="112">
        <f t="shared" si="16"/>
        <v>120230825.77729386</v>
      </c>
      <c r="R65" s="112">
        <f t="shared" si="16"/>
        <v>5734019.9097612388</v>
      </c>
      <c r="S65" s="112">
        <f t="shared" si="16"/>
        <v>0</v>
      </c>
      <c r="T65" s="112">
        <f t="shared" si="16"/>
        <v>0</v>
      </c>
      <c r="U65" s="112">
        <f t="shared" si="16"/>
        <v>0</v>
      </c>
      <c r="V65" s="112">
        <f t="shared" si="16"/>
        <v>0</v>
      </c>
      <c r="W65" s="112">
        <f t="shared" si="16"/>
        <v>0</v>
      </c>
      <c r="X65" s="112">
        <f t="shared" si="16"/>
        <v>0</v>
      </c>
      <c r="Y65" s="112">
        <f t="shared" si="16"/>
        <v>0</v>
      </c>
      <c r="Z65" s="112">
        <f t="shared" si="16"/>
        <v>0</v>
      </c>
      <c r="AA65" s="112">
        <f t="shared" si="16"/>
        <v>0</v>
      </c>
      <c r="AB65" s="112">
        <f t="shared" si="16"/>
        <v>0</v>
      </c>
      <c r="AC65" s="112">
        <f t="shared" si="16"/>
        <v>0</v>
      </c>
      <c r="AD65" s="112">
        <f t="shared" si="16"/>
        <v>0</v>
      </c>
      <c r="AE65" s="112">
        <f t="shared" si="16"/>
        <v>0</v>
      </c>
      <c r="AF65" s="112">
        <f t="shared" si="16"/>
        <v>0</v>
      </c>
      <c r="AG65" s="112">
        <f t="shared" si="16"/>
        <v>0</v>
      </c>
      <c r="AH65" s="112">
        <f t="shared" si="16"/>
        <v>0</v>
      </c>
      <c r="AI65" s="112">
        <f t="shared" si="16"/>
        <v>0</v>
      </c>
      <c r="AJ65" s="112">
        <f t="shared" si="16"/>
        <v>0</v>
      </c>
      <c r="AK65" s="112">
        <f t="shared" si="16"/>
        <v>0</v>
      </c>
    </row>
    <row r="66" spans="2:37" ht="15" thickBot="1"/>
    <row r="67" spans="2:37">
      <c r="B67" s="122" t="s">
        <v>527</v>
      </c>
      <c r="C67" s="123"/>
      <c r="D67" s="123"/>
      <c r="E67" s="123"/>
      <c r="F67" s="123"/>
      <c r="G67" s="124">
        <f ca="1">SUM(G65:R65)</f>
        <v>86150163.857603297</v>
      </c>
    </row>
    <row r="68" spans="2:37">
      <c r="B68" s="125" t="s">
        <v>528</v>
      </c>
      <c r="G68" s="126">
        <f>NPV($R$21,H65:R65)</f>
        <v>79755477.821766302</v>
      </c>
    </row>
    <row r="69" spans="2:37">
      <c r="B69" s="125" t="s">
        <v>529</v>
      </c>
      <c r="G69" s="126">
        <f ca="1">G68+G65</f>
        <v>5417150.6071188599</v>
      </c>
    </row>
    <row r="70" spans="2:37">
      <c r="B70" s="125" t="s">
        <v>530</v>
      </c>
      <c r="G70" s="127">
        <f ca="1">IRR(G65:R65)</f>
        <v>8.8542937384214149E-2</v>
      </c>
    </row>
    <row r="71" spans="2:37" ht="15" thickBot="1">
      <c r="B71" s="128" t="s">
        <v>531</v>
      </c>
      <c r="C71" s="129"/>
      <c r="D71" s="129"/>
      <c r="E71" s="129"/>
      <c r="F71" s="129"/>
      <c r="G71" s="130">
        <f ca="1">(G67/-G65)+1</f>
        <v>2.1588929571800817</v>
      </c>
    </row>
    <row r="73" spans="2:37">
      <c r="B73" s="102" t="s">
        <v>532</v>
      </c>
      <c r="G73" s="107">
        <f ca="1">G34</f>
        <v>52036829.050253205</v>
      </c>
    </row>
    <row r="74" spans="2:37">
      <c r="B74" s="102" t="s">
        <v>533</v>
      </c>
      <c r="H74" s="107">
        <f t="shared" ref="H74:AK74" si="17">IF(H37=$G$27,FV($G$32/12,H37*12,$G$35,$G$34),0)</f>
        <v>0</v>
      </c>
      <c r="I74" s="107">
        <f t="shared" si="17"/>
        <v>0</v>
      </c>
      <c r="J74" s="107">
        <f t="shared" si="17"/>
        <v>0</v>
      </c>
      <c r="K74" s="107">
        <f t="shared" si="17"/>
        <v>0</v>
      </c>
      <c r="L74" s="107">
        <f t="shared" si="17"/>
        <v>0</v>
      </c>
      <c r="M74" s="107">
        <f t="shared" si="17"/>
        <v>0</v>
      </c>
      <c r="N74" s="107">
        <f t="shared" si="17"/>
        <v>0</v>
      </c>
      <c r="O74" s="107">
        <f t="shared" si="17"/>
        <v>0</v>
      </c>
      <c r="P74" s="107">
        <f t="shared" si="17"/>
        <v>0</v>
      </c>
      <c r="Q74" s="107">
        <f t="shared" ca="1" si="17"/>
        <v>-42327831.045638464</v>
      </c>
      <c r="R74" s="107">
        <f t="shared" si="17"/>
        <v>0</v>
      </c>
      <c r="S74" s="107">
        <f t="shared" si="17"/>
        <v>0</v>
      </c>
      <c r="T74" s="107">
        <f t="shared" si="17"/>
        <v>0</v>
      </c>
      <c r="U74" s="107">
        <f t="shared" si="17"/>
        <v>0</v>
      </c>
      <c r="V74" s="107">
        <f t="shared" si="17"/>
        <v>0</v>
      </c>
      <c r="W74" s="107">
        <f t="shared" si="17"/>
        <v>0</v>
      </c>
      <c r="X74" s="107">
        <f t="shared" si="17"/>
        <v>0</v>
      </c>
      <c r="Y74" s="107">
        <f t="shared" si="17"/>
        <v>0</v>
      </c>
      <c r="Z74" s="107">
        <f t="shared" si="17"/>
        <v>0</v>
      </c>
      <c r="AA74" s="107">
        <f t="shared" si="17"/>
        <v>0</v>
      </c>
      <c r="AB74" s="107">
        <f t="shared" si="17"/>
        <v>0</v>
      </c>
      <c r="AC74" s="107">
        <f t="shared" si="17"/>
        <v>0</v>
      </c>
      <c r="AD74" s="107">
        <f t="shared" si="17"/>
        <v>0</v>
      </c>
      <c r="AE74" s="107">
        <f t="shared" si="17"/>
        <v>0</v>
      </c>
      <c r="AF74" s="107">
        <f t="shared" si="17"/>
        <v>0</v>
      </c>
      <c r="AG74" s="107">
        <f t="shared" si="17"/>
        <v>0</v>
      </c>
      <c r="AH74" s="107">
        <f t="shared" si="17"/>
        <v>0</v>
      </c>
      <c r="AI74" s="107">
        <f t="shared" si="17"/>
        <v>0</v>
      </c>
      <c r="AJ74" s="107">
        <f t="shared" si="17"/>
        <v>0</v>
      </c>
      <c r="AK74" s="107">
        <f t="shared" si="17"/>
        <v>0</v>
      </c>
    </row>
    <row r="75" spans="2:37">
      <c r="B75" s="102" t="s">
        <v>534</v>
      </c>
      <c r="H75" s="107">
        <f ca="1">IF(H37&lt;=$G$27,$G$35*12,0)</f>
        <v>-3352139.403259458</v>
      </c>
      <c r="I75" s="107">
        <f t="shared" ref="I75:AK75" ca="1" si="18">IF(I37&lt;=$G$27,$G$35*12,0)</f>
        <v>-3352139.403259458</v>
      </c>
      <c r="J75" s="107">
        <f t="shared" ca="1" si="18"/>
        <v>-3352139.403259458</v>
      </c>
      <c r="K75" s="107">
        <f t="shared" ca="1" si="18"/>
        <v>-3352139.403259458</v>
      </c>
      <c r="L75" s="107">
        <f t="shared" ca="1" si="18"/>
        <v>-3352139.403259458</v>
      </c>
      <c r="M75" s="107">
        <f t="shared" ca="1" si="18"/>
        <v>-3352139.403259458</v>
      </c>
      <c r="N75" s="107">
        <f t="shared" ca="1" si="18"/>
        <v>-3352139.403259458</v>
      </c>
      <c r="O75" s="107">
        <f t="shared" ca="1" si="18"/>
        <v>-3352139.403259458</v>
      </c>
      <c r="P75" s="107">
        <f t="shared" ca="1" si="18"/>
        <v>-3352139.403259458</v>
      </c>
      <c r="Q75" s="107">
        <f t="shared" ca="1" si="18"/>
        <v>-3352139.403259458</v>
      </c>
      <c r="R75" s="107">
        <f t="shared" si="18"/>
        <v>0</v>
      </c>
      <c r="S75" s="107">
        <f t="shared" si="18"/>
        <v>0</v>
      </c>
      <c r="T75" s="107">
        <f t="shared" si="18"/>
        <v>0</v>
      </c>
      <c r="U75" s="107">
        <f t="shared" si="18"/>
        <v>0</v>
      </c>
      <c r="V75" s="107">
        <f t="shared" si="18"/>
        <v>0</v>
      </c>
      <c r="W75" s="107">
        <f t="shared" si="18"/>
        <v>0</v>
      </c>
      <c r="X75" s="107">
        <f t="shared" si="18"/>
        <v>0</v>
      </c>
      <c r="Y75" s="107">
        <f t="shared" si="18"/>
        <v>0</v>
      </c>
      <c r="Z75" s="107">
        <f t="shared" si="18"/>
        <v>0</v>
      </c>
      <c r="AA75" s="107">
        <f t="shared" si="18"/>
        <v>0</v>
      </c>
      <c r="AB75" s="107">
        <f t="shared" si="18"/>
        <v>0</v>
      </c>
      <c r="AC75" s="107">
        <f t="shared" si="18"/>
        <v>0</v>
      </c>
      <c r="AD75" s="107">
        <f t="shared" si="18"/>
        <v>0</v>
      </c>
      <c r="AE75" s="107">
        <f t="shared" si="18"/>
        <v>0</v>
      </c>
      <c r="AF75" s="107">
        <f t="shared" si="18"/>
        <v>0</v>
      </c>
      <c r="AG75" s="107">
        <f t="shared" si="18"/>
        <v>0</v>
      </c>
      <c r="AH75" s="107">
        <f t="shared" si="18"/>
        <v>0</v>
      </c>
      <c r="AI75" s="107">
        <f t="shared" si="18"/>
        <v>0</v>
      </c>
      <c r="AJ75" s="107">
        <f t="shared" si="18"/>
        <v>0</v>
      </c>
      <c r="AK75" s="107">
        <f t="shared" si="18"/>
        <v>0</v>
      </c>
    </row>
    <row r="77" spans="2:37">
      <c r="B77" s="102" t="s">
        <v>535</v>
      </c>
      <c r="G77" s="107">
        <f t="shared" ref="G77:AK77" ca="1" si="19">IF(G37&lt;=$G$27,SUM(G65,G73:G75),0)</f>
        <v>-22301498.164394237</v>
      </c>
      <c r="H77" s="107">
        <f t="shared" ca="1" si="19"/>
        <v>-7268514.406285191</v>
      </c>
      <c r="I77" s="107">
        <f t="shared" ca="1" si="19"/>
        <v>919972.00521454215</v>
      </c>
      <c r="J77" s="107">
        <f t="shared" ca="1" si="19"/>
        <v>1062712.5364598818</v>
      </c>
      <c r="K77" s="107">
        <f t="shared" ca="1" si="19"/>
        <v>1210026.8274224056</v>
      </c>
      <c r="L77" s="107">
        <f t="shared" ca="1" si="19"/>
        <v>1362057.9217692222</v>
      </c>
      <c r="M77" s="107">
        <f t="shared" ca="1" si="19"/>
        <v>1518953.2710949704</v>
      </c>
      <c r="N77" s="107">
        <f t="shared" ca="1" si="19"/>
        <v>1680864.8694919907</v>
      </c>
      <c r="O77" s="107">
        <f t="shared" ca="1" si="19"/>
        <v>1847949.3922042483</v>
      </c>
      <c r="P77" s="107">
        <f t="shared" ca="1" si="19"/>
        <v>2020368.338488467</v>
      </c>
      <c r="Q77" s="107">
        <f t="shared" ca="1" si="19"/>
        <v>74550855.328395933</v>
      </c>
      <c r="R77" s="107">
        <f t="shared" si="19"/>
        <v>0</v>
      </c>
      <c r="S77" s="107">
        <f t="shared" si="19"/>
        <v>0</v>
      </c>
      <c r="T77" s="107">
        <f t="shared" si="19"/>
        <v>0</v>
      </c>
      <c r="U77" s="107">
        <f t="shared" si="19"/>
        <v>0</v>
      </c>
      <c r="V77" s="107">
        <f t="shared" si="19"/>
        <v>0</v>
      </c>
      <c r="W77" s="107">
        <f t="shared" si="19"/>
        <v>0</v>
      </c>
      <c r="X77" s="107">
        <f t="shared" si="19"/>
        <v>0</v>
      </c>
      <c r="Y77" s="107">
        <f t="shared" si="19"/>
        <v>0</v>
      </c>
      <c r="Z77" s="107">
        <f t="shared" si="19"/>
        <v>0</v>
      </c>
      <c r="AA77" s="107">
        <f t="shared" si="19"/>
        <v>0</v>
      </c>
      <c r="AB77" s="107">
        <f t="shared" si="19"/>
        <v>0</v>
      </c>
      <c r="AC77" s="107">
        <f t="shared" si="19"/>
        <v>0</v>
      </c>
      <c r="AD77" s="107">
        <f t="shared" si="19"/>
        <v>0</v>
      </c>
      <c r="AE77" s="107">
        <f t="shared" si="19"/>
        <v>0</v>
      </c>
      <c r="AF77" s="107">
        <f t="shared" si="19"/>
        <v>0</v>
      </c>
      <c r="AG77" s="107">
        <f t="shared" si="19"/>
        <v>0</v>
      </c>
      <c r="AH77" s="107">
        <f t="shared" si="19"/>
        <v>0</v>
      </c>
      <c r="AI77" s="107">
        <f t="shared" si="19"/>
        <v>0</v>
      </c>
      <c r="AJ77" s="107">
        <f t="shared" si="19"/>
        <v>0</v>
      </c>
      <c r="AK77" s="107">
        <f t="shared" si="19"/>
        <v>0</v>
      </c>
    </row>
    <row r="78" spans="2:37" ht="15" thickBot="1"/>
    <row r="79" spans="2:37">
      <c r="B79" s="122" t="s">
        <v>527</v>
      </c>
      <c r="C79" s="123"/>
      <c r="D79" s="123"/>
      <c r="E79" s="123"/>
      <c r="F79" s="123"/>
      <c r="G79" s="124">
        <f ca="1">SUM(G77:R77)</f>
        <v>56603747.919862241</v>
      </c>
    </row>
    <row r="80" spans="2:37">
      <c r="B80" s="125" t="s">
        <v>528</v>
      </c>
      <c r="G80" s="126">
        <f ca="1">NPV($R$21,H77:R77)</f>
        <v>35197151.005810358</v>
      </c>
    </row>
    <row r="81" spans="1:37">
      <c r="B81" s="125" t="s">
        <v>529</v>
      </c>
      <c r="G81" s="126">
        <f ca="1">G80+G77</f>
        <v>12895652.841416121</v>
      </c>
    </row>
    <row r="82" spans="1:37">
      <c r="B82" s="125" t="s">
        <v>536</v>
      </c>
      <c r="G82" s="131">
        <f ca="1">IRR(G77:R77)</f>
        <v>0.12538045757960359</v>
      </c>
    </row>
    <row r="83" spans="1:37" ht="15" thickBot="1">
      <c r="B83" s="128" t="s">
        <v>531</v>
      </c>
      <c r="C83" s="129"/>
      <c r="D83" s="129"/>
      <c r="E83" s="129"/>
      <c r="F83" s="129"/>
      <c r="G83" s="130">
        <f ca="1">(G79/-G77)+1</f>
        <v>3.5381141438396155</v>
      </c>
    </row>
    <row r="85" spans="1:37" s="104" customFormat="1">
      <c r="A85" s="132" t="s">
        <v>472</v>
      </c>
      <c r="B85" s="245" t="s">
        <v>585</v>
      </c>
      <c r="C85" s="245"/>
      <c r="D85" s="245"/>
      <c r="E85" s="245"/>
      <c r="F85" s="245"/>
      <c r="G85" s="245"/>
      <c r="H85" s="247">
        <f t="shared" ref="H85:AK85" si="20">H37</f>
        <v>1</v>
      </c>
      <c r="I85" s="247">
        <f t="shared" si="20"/>
        <v>2</v>
      </c>
      <c r="J85" s="247">
        <f t="shared" si="20"/>
        <v>3</v>
      </c>
      <c r="K85" s="247">
        <f t="shared" si="20"/>
        <v>4</v>
      </c>
      <c r="L85" s="247">
        <f t="shared" si="20"/>
        <v>5</v>
      </c>
      <c r="M85" s="247">
        <f t="shared" si="20"/>
        <v>6</v>
      </c>
      <c r="N85" s="247">
        <f t="shared" si="20"/>
        <v>7</v>
      </c>
      <c r="O85" s="247">
        <f t="shared" si="20"/>
        <v>8</v>
      </c>
      <c r="P85" s="247">
        <f t="shared" si="20"/>
        <v>9</v>
      </c>
      <c r="Q85" s="247">
        <f t="shared" si="20"/>
        <v>10</v>
      </c>
      <c r="R85" s="247">
        <f t="shared" si="20"/>
        <v>11</v>
      </c>
      <c r="S85" s="119">
        <f t="shared" si="20"/>
        <v>12</v>
      </c>
      <c r="T85" s="119">
        <f t="shared" si="20"/>
        <v>13</v>
      </c>
      <c r="U85" s="119">
        <f t="shared" si="20"/>
        <v>14</v>
      </c>
      <c r="V85" s="119">
        <f t="shared" si="20"/>
        <v>15</v>
      </c>
      <c r="W85" s="119">
        <f t="shared" si="20"/>
        <v>16</v>
      </c>
      <c r="X85" s="119">
        <f t="shared" si="20"/>
        <v>17</v>
      </c>
      <c r="Y85" s="119">
        <f t="shared" si="20"/>
        <v>18</v>
      </c>
      <c r="Z85" s="119">
        <f t="shared" si="20"/>
        <v>19</v>
      </c>
      <c r="AA85" s="119">
        <f t="shared" si="20"/>
        <v>20</v>
      </c>
      <c r="AB85" s="119">
        <f t="shared" si="20"/>
        <v>21</v>
      </c>
      <c r="AC85" s="119">
        <f t="shared" si="20"/>
        <v>22</v>
      </c>
      <c r="AD85" s="119">
        <f t="shared" si="20"/>
        <v>23</v>
      </c>
      <c r="AE85" s="119">
        <f t="shared" si="20"/>
        <v>24</v>
      </c>
      <c r="AF85" s="119">
        <f t="shared" si="20"/>
        <v>25</v>
      </c>
      <c r="AG85" s="119">
        <f t="shared" si="20"/>
        <v>26</v>
      </c>
      <c r="AH85" s="119">
        <f t="shared" si="20"/>
        <v>27</v>
      </c>
      <c r="AI85" s="119">
        <f t="shared" si="20"/>
        <v>28</v>
      </c>
      <c r="AJ85" s="119">
        <f t="shared" si="20"/>
        <v>29</v>
      </c>
      <c r="AK85" s="119">
        <f t="shared" si="20"/>
        <v>30</v>
      </c>
    </row>
    <row r="86" spans="1:37">
      <c r="B86" s="102" t="s">
        <v>586</v>
      </c>
      <c r="H86" s="108">
        <f t="shared" ref="H86:AK86" si="21">H42/$G$12</f>
        <v>30.58</v>
      </c>
      <c r="I86" s="108">
        <f t="shared" si="21"/>
        <v>31.497399999999999</v>
      </c>
      <c r="J86" s="108">
        <f t="shared" si="21"/>
        <v>32.442321999999997</v>
      </c>
      <c r="K86" s="108">
        <f t="shared" si="21"/>
        <v>33.415591659999997</v>
      </c>
      <c r="L86" s="108">
        <f t="shared" si="21"/>
        <v>34.418059409799994</v>
      </c>
      <c r="M86" s="108">
        <f t="shared" si="21"/>
        <v>35.450601192093991</v>
      </c>
      <c r="N86" s="108">
        <f t="shared" si="21"/>
        <v>36.514119227856817</v>
      </c>
      <c r="O86" s="108">
        <f t="shared" si="21"/>
        <v>37.609542804692524</v>
      </c>
      <c r="P86" s="108">
        <f t="shared" si="21"/>
        <v>38.737829088833294</v>
      </c>
      <c r="Q86" s="108">
        <f t="shared" si="21"/>
        <v>39.899963961498294</v>
      </c>
      <c r="R86" s="108">
        <f t="shared" si="21"/>
        <v>41.096962880343249</v>
      </c>
      <c r="S86" s="108">
        <f t="shared" si="21"/>
        <v>42.329871766753541</v>
      </c>
      <c r="T86" s="108">
        <f t="shared" si="21"/>
        <v>43.59976791975614</v>
      </c>
      <c r="U86" s="108">
        <f t="shared" si="21"/>
        <v>44.90776095734882</v>
      </c>
      <c r="V86" s="108">
        <f t="shared" si="21"/>
        <v>46.254993786069292</v>
      </c>
      <c r="W86" s="108">
        <f t="shared" si="21"/>
        <v>47.642643599651372</v>
      </c>
      <c r="X86" s="108">
        <f t="shared" si="21"/>
        <v>49.071922907640911</v>
      </c>
      <c r="Y86" s="108">
        <f t="shared" si="21"/>
        <v>50.544080594870131</v>
      </c>
      <c r="Z86" s="108">
        <f t="shared" si="21"/>
        <v>52.060403012716236</v>
      </c>
      <c r="AA86" s="108">
        <f t="shared" si="21"/>
        <v>53.622215103097723</v>
      </c>
      <c r="AB86" s="108">
        <f t="shared" si="21"/>
        <v>55.230881556190653</v>
      </c>
      <c r="AC86" s="108">
        <f t="shared" si="21"/>
        <v>56.887808002876369</v>
      </c>
      <c r="AD86" s="108">
        <f t="shared" si="21"/>
        <v>58.594442242962664</v>
      </c>
      <c r="AE86" s="108">
        <f t="shared" si="21"/>
        <v>60.352275510251552</v>
      </c>
      <c r="AF86" s="108">
        <f t="shared" si="21"/>
        <v>62.162843775559082</v>
      </c>
      <c r="AG86" s="108">
        <f t="shared" si="21"/>
        <v>64.027729088825851</v>
      </c>
      <c r="AH86" s="108">
        <f t="shared" si="21"/>
        <v>65.948560961490642</v>
      </c>
      <c r="AI86" s="108">
        <f t="shared" si="21"/>
        <v>67.927017790335356</v>
      </c>
      <c r="AJ86" s="108">
        <f t="shared" si="21"/>
        <v>69.964828324045413</v>
      </c>
      <c r="AK86" s="108">
        <f t="shared" si="21"/>
        <v>72.063773173766762</v>
      </c>
    </row>
    <row r="87" spans="1:37">
      <c r="B87" s="102" t="s">
        <v>573</v>
      </c>
      <c r="H87" s="108">
        <f t="shared" ref="H87:AK87" si="22">H44/$G$12</f>
        <v>0</v>
      </c>
      <c r="I87" s="108">
        <f t="shared" si="22"/>
        <v>0</v>
      </c>
      <c r="J87" s="108">
        <f t="shared" si="22"/>
        <v>0</v>
      </c>
      <c r="K87" s="108">
        <f t="shared" si="22"/>
        <v>0</v>
      </c>
      <c r="L87" s="108">
        <f t="shared" si="22"/>
        <v>0</v>
      </c>
      <c r="M87" s="108">
        <f t="shared" si="22"/>
        <v>0</v>
      </c>
      <c r="N87" s="108">
        <f t="shared" si="22"/>
        <v>0</v>
      </c>
      <c r="O87" s="108">
        <f t="shared" si="22"/>
        <v>0</v>
      </c>
      <c r="P87" s="108">
        <f t="shared" si="22"/>
        <v>0</v>
      </c>
      <c r="Q87" s="108">
        <f t="shared" si="22"/>
        <v>0</v>
      </c>
      <c r="R87" s="108">
        <f t="shared" si="22"/>
        <v>0</v>
      </c>
      <c r="S87" s="108">
        <f t="shared" si="22"/>
        <v>0</v>
      </c>
      <c r="T87" s="108">
        <f t="shared" si="22"/>
        <v>0</v>
      </c>
      <c r="U87" s="108">
        <f t="shared" si="22"/>
        <v>0</v>
      </c>
      <c r="V87" s="108">
        <f t="shared" si="22"/>
        <v>0</v>
      </c>
      <c r="W87" s="108">
        <f t="shared" si="22"/>
        <v>0</v>
      </c>
      <c r="X87" s="108">
        <f t="shared" si="22"/>
        <v>0</v>
      </c>
      <c r="Y87" s="108">
        <f t="shared" si="22"/>
        <v>0</v>
      </c>
      <c r="Z87" s="108">
        <f t="shared" si="22"/>
        <v>0</v>
      </c>
      <c r="AA87" s="108">
        <f t="shared" si="22"/>
        <v>0</v>
      </c>
      <c r="AB87" s="108">
        <f t="shared" si="22"/>
        <v>0</v>
      </c>
      <c r="AC87" s="108">
        <f t="shared" si="22"/>
        <v>0</v>
      </c>
      <c r="AD87" s="108">
        <f t="shared" si="22"/>
        <v>0</v>
      </c>
      <c r="AE87" s="108">
        <f t="shared" si="22"/>
        <v>0</v>
      </c>
      <c r="AF87" s="108">
        <f t="shared" si="22"/>
        <v>0</v>
      </c>
      <c r="AG87" s="108">
        <f t="shared" si="22"/>
        <v>0</v>
      </c>
      <c r="AH87" s="108">
        <f t="shared" si="22"/>
        <v>0</v>
      </c>
      <c r="AI87" s="108">
        <f t="shared" si="22"/>
        <v>0</v>
      </c>
      <c r="AJ87" s="108">
        <f t="shared" si="22"/>
        <v>0</v>
      </c>
      <c r="AK87" s="108">
        <f t="shared" si="22"/>
        <v>0</v>
      </c>
    </row>
    <row r="88" spans="1:37">
      <c r="B88" s="102" t="s">
        <v>16</v>
      </c>
      <c r="H88" s="108">
        <f>H86-H87</f>
        <v>30.58</v>
      </c>
      <c r="I88" s="108">
        <f t="shared" ref="I88:AK88" si="23">I86-I87</f>
        <v>31.497399999999999</v>
      </c>
      <c r="J88" s="108">
        <f t="shared" si="23"/>
        <v>32.442321999999997</v>
      </c>
      <c r="K88" s="108">
        <f t="shared" si="23"/>
        <v>33.415591659999997</v>
      </c>
      <c r="L88" s="108">
        <f t="shared" si="23"/>
        <v>34.418059409799994</v>
      </c>
      <c r="M88" s="108">
        <f t="shared" si="23"/>
        <v>35.450601192093991</v>
      </c>
      <c r="N88" s="108">
        <f t="shared" si="23"/>
        <v>36.514119227856817</v>
      </c>
      <c r="O88" s="108">
        <f t="shared" si="23"/>
        <v>37.609542804692524</v>
      </c>
      <c r="P88" s="108">
        <f t="shared" si="23"/>
        <v>38.737829088833294</v>
      </c>
      <c r="Q88" s="108">
        <f t="shared" si="23"/>
        <v>39.899963961498294</v>
      </c>
      <c r="R88" s="108">
        <f t="shared" si="23"/>
        <v>41.096962880343249</v>
      </c>
      <c r="S88" s="108">
        <f t="shared" si="23"/>
        <v>42.329871766753541</v>
      </c>
      <c r="T88" s="108">
        <f t="shared" si="23"/>
        <v>43.59976791975614</v>
      </c>
      <c r="U88" s="108">
        <f t="shared" si="23"/>
        <v>44.90776095734882</v>
      </c>
      <c r="V88" s="108">
        <f t="shared" si="23"/>
        <v>46.254993786069292</v>
      </c>
      <c r="W88" s="108">
        <f t="shared" si="23"/>
        <v>47.642643599651372</v>
      </c>
      <c r="X88" s="108">
        <f t="shared" si="23"/>
        <v>49.071922907640911</v>
      </c>
      <c r="Y88" s="108">
        <f t="shared" si="23"/>
        <v>50.544080594870131</v>
      </c>
      <c r="Z88" s="108">
        <f t="shared" si="23"/>
        <v>52.060403012716236</v>
      </c>
      <c r="AA88" s="108">
        <f t="shared" si="23"/>
        <v>53.622215103097723</v>
      </c>
      <c r="AB88" s="108">
        <f t="shared" si="23"/>
        <v>55.230881556190653</v>
      </c>
      <c r="AC88" s="108">
        <f t="shared" si="23"/>
        <v>56.887808002876369</v>
      </c>
      <c r="AD88" s="108">
        <f t="shared" si="23"/>
        <v>58.594442242962664</v>
      </c>
      <c r="AE88" s="108">
        <f t="shared" si="23"/>
        <v>60.352275510251552</v>
      </c>
      <c r="AF88" s="108">
        <f t="shared" si="23"/>
        <v>62.162843775559082</v>
      </c>
      <c r="AG88" s="108">
        <f t="shared" si="23"/>
        <v>64.027729088825851</v>
      </c>
      <c r="AH88" s="108">
        <f t="shared" si="23"/>
        <v>65.948560961490642</v>
      </c>
      <c r="AI88" s="108">
        <f t="shared" si="23"/>
        <v>67.927017790335356</v>
      </c>
      <c r="AJ88" s="108">
        <f t="shared" si="23"/>
        <v>69.964828324045413</v>
      </c>
      <c r="AK88" s="108">
        <f t="shared" si="23"/>
        <v>72.063773173766762</v>
      </c>
    </row>
    <row r="89" spans="1:37">
      <c r="B89" s="102" t="s">
        <v>587</v>
      </c>
      <c r="H89" s="120">
        <f>$G$23</f>
        <v>0.06</v>
      </c>
      <c r="I89" s="120">
        <f t="shared" ref="I89:AK89" si="24">$G$23</f>
        <v>0.06</v>
      </c>
      <c r="J89" s="120">
        <f t="shared" si="24"/>
        <v>0.06</v>
      </c>
      <c r="K89" s="120">
        <f t="shared" si="24"/>
        <v>0.06</v>
      </c>
      <c r="L89" s="120">
        <f t="shared" si="24"/>
        <v>0.06</v>
      </c>
      <c r="M89" s="120">
        <f t="shared" si="24"/>
        <v>0.06</v>
      </c>
      <c r="N89" s="120">
        <f t="shared" si="24"/>
        <v>0.06</v>
      </c>
      <c r="O89" s="120">
        <f t="shared" si="24"/>
        <v>0.06</v>
      </c>
      <c r="P89" s="120">
        <f t="shared" si="24"/>
        <v>0.06</v>
      </c>
      <c r="Q89" s="120">
        <f t="shared" si="24"/>
        <v>0.06</v>
      </c>
      <c r="R89" s="120">
        <f t="shared" si="24"/>
        <v>0.06</v>
      </c>
      <c r="S89" s="120">
        <f t="shared" si="24"/>
        <v>0.06</v>
      </c>
      <c r="T89" s="120">
        <f t="shared" si="24"/>
        <v>0.06</v>
      </c>
      <c r="U89" s="120">
        <f t="shared" si="24"/>
        <v>0.06</v>
      </c>
      <c r="V89" s="120">
        <f t="shared" si="24"/>
        <v>0.06</v>
      </c>
      <c r="W89" s="120">
        <f t="shared" si="24"/>
        <v>0.06</v>
      </c>
      <c r="X89" s="120">
        <f t="shared" si="24"/>
        <v>0.06</v>
      </c>
      <c r="Y89" s="120">
        <f t="shared" si="24"/>
        <v>0.06</v>
      </c>
      <c r="Z89" s="120">
        <f t="shared" si="24"/>
        <v>0.06</v>
      </c>
      <c r="AA89" s="120">
        <f t="shared" si="24"/>
        <v>0.06</v>
      </c>
      <c r="AB89" s="120">
        <f t="shared" si="24"/>
        <v>0.06</v>
      </c>
      <c r="AC89" s="120">
        <f t="shared" si="24"/>
        <v>0.06</v>
      </c>
      <c r="AD89" s="120">
        <f t="shared" si="24"/>
        <v>0.06</v>
      </c>
      <c r="AE89" s="120">
        <f t="shared" si="24"/>
        <v>0.06</v>
      </c>
      <c r="AF89" s="120">
        <f t="shared" si="24"/>
        <v>0.06</v>
      </c>
      <c r="AG89" s="120">
        <f t="shared" si="24"/>
        <v>0.06</v>
      </c>
      <c r="AH89" s="120">
        <f t="shared" si="24"/>
        <v>0.06</v>
      </c>
      <c r="AI89" s="120">
        <f t="shared" si="24"/>
        <v>0.06</v>
      </c>
      <c r="AJ89" s="120">
        <f t="shared" si="24"/>
        <v>0.06</v>
      </c>
      <c r="AK89" s="120">
        <f t="shared" si="24"/>
        <v>0.06</v>
      </c>
    </row>
    <row r="90" spans="1:37">
      <c r="B90" s="102" t="s">
        <v>556</v>
      </c>
      <c r="H90" s="108">
        <f>H88*H89</f>
        <v>1.8347999999999998</v>
      </c>
      <c r="I90" s="108">
        <f t="shared" ref="I90:AK90" si="25">I88*I89</f>
        <v>1.8898439999999999</v>
      </c>
      <c r="J90" s="108">
        <f t="shared" si="25"/>
        <v>1.9465393199999999</v>
      </c>
      <c r="K90" s="108">
        <f t="shared" si="25"/>
        <v>2.0049354995999997</v>
      </c>
      <c r="L90" s="108">
        <f t="shared" si="25"/>
        <v>2.0650835645879995</v>
      </c>
      <c r="M90" s="108">
        <f t="shared" si="25"/>
        <v>2.1270360715256396</v>
      </c>
      <c r="N90" s="108">
        <f t="shared" si="25"/>
        <v>2.1908471536714091</v>
      </c>
      <c r="O90" s="108">
        <f t="shared" si="25"/>
        <v>2.2565725682815514</v>
      </c>
      <c r="P90" s="108">
        <f t="shared" si="25"/>
        <v>2.3242697453299974</v>
      </c>
      <c r="Q90" s="108">
        <f t="shared" si="25"/>
        <v>2.3939978376898976</v>
      </c>
      <c r="R90" s="108">
        <f t="shared" si="25"/>
        <v>2.465817772820595</v>
      </c>
      <c r="S90" s="108">
        <f t="shared" si="25"/>
        <v>2.5397923060052126</v>
      </c>
      <c r="T90" s="108">
        <f t="shared" si="25"/>
        <v>2.6159860751853681</v>
      </c>
      <c r="U90" s="108">
        <f t="shared" si="25"/>
        <v>2.6944656574409289</v>
      </c>
      <c r="V90" s="108">
        <f t="shared" si="25"/>
        <v>2.7752996271641575</v>
      </c>
      <c r="W90" s="108">
        <f t="shared" si="25"/>
        <v>2.8585586159790823</v>
      </c>
      <c r="X90" s="108">
        <f t="shared" si="25"/>
        <v>2.9443153744584545</v>
      </c>
      <c r="Y90" s="108">
        <f t="shared" si="25"/>
        <v>3.0326448356922078</v>
      </c>
      <c r="Z90" s="108">
        <f t="shared" si="25"/>
        <v>3.1236241807629739</v>
      </c>
      <c r="AA90" s="108">
        <f t="shared" si="25"/>
        <v>3.2173329061858631</v>
      </c>
      <c r="AB90" s="108">
        <f t="shared" si="25"/>
        <v>3.3138528933714388</v>
      </c>
      <c r="AC90" s="108">
        <f t="shared" si="25"/>
        <v>3.4132684801725821</v>
      </c>
      <c r="AD90" s="108">
        <f t="shared" si="25"/>
        <v>3.5156665345777598</v>
      </c>
      <c r="AE90" s="108">
        <f t="shared" si="25"/>
        <v>3.6211365306150931</v>
      </c>
      <c r="AF90" s="108">
        <f t="shared" si="25"/>
        <v>3.7297706265335449</v>
      </c>
      <c r="AG90" s="108">
        <f t="shared" si="25"/>
        <v>3.841663745329551</v>
      </c>
      <c r="AH90" s="108">
        <f t="shared" si="25"/>
        <v>3.9569136576894386</v>
      </c>
      <c r="AI90" s="108">
        <f t="shared" si="25"/>
        <v>4.075621067420121</v>
      </c>
      <c r="AJ90" s="108">
        <f t="shared" si="25"/>
        <v>4.1978896994427251</v>
      </c>
      <c r="AK90" s="108">
        <f t="shared" si="25"/>
        <v>4.3238263904260057</v>
      </c>
    </row>
    <row r="92" spans="1:37">
      <c r="A92" s="102" t="s">
        <v>472</v>
      </c>
      <c r="B92" s="245" t="s">
        <v>588</v>
      </c>
      <c r="C92" s="245"/>
      <c r="D92" s="245"/>
      <c r="E92" s="245"/>
      <c r="F92" s="245"/>
      <c r="G92" s="245"/>
      <c r="H92" s="245"/>
      <c r="I92" s="245"/>
      <c r="J92" s="245"/>
      <c r="K92" s="245"/>
      <c r="L92" s="245"/>
      <c r="M92" s="245"/>
      <c r="N92" s="245"/>
      <c r="O92" s="245"/>
      <c r="P92" s="246"/>
      <c r="Q92" s="245"/>
      <c r="R92" s="245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</row>
    <row r="93" spans="1:37">
      <c r="F93" s="767" t="s">
        <v>589</v>
      </c>
      <c r="G93" s="767"/>
      <c r="H93" s="767"/>
      <c r="I93" s="767"/>
      <c r="J93" s="767"/>
    </row>
    <row r="94" spans="1:37">
      <c r="E94" s="133">
        <f ca="1">G82</f>
        <v>0.12538045757960359</v>
      </c>
      <c r="F94" s="668">
        <v>3</v>
      </c>
      <c r="G94" s="668">
        <v>4</v>
      </c>
      <c r="H94" s="668">
        <v>5</v>
      </c>
      <c r="I94" s="668">
        <v>6</v>
      </c>
      <c r="J94" s="668">
        <v>7</v>
      </c>
    </row>
    <row r="95" spans="1:37">
      <c r="C95" s="768" t="s">
        <v>390</v>
      </c>
      <c r="D95" s="768"/>
      <c r="E95" s="669">
        <v>0.05</v>
      </c>
      <c r="F95" s="135">
        <f t="dataTable" ref="F95:J99" dt2D="1" dtr="1" r1="G27" r2="G25" ca="1"/>
        <v>0.18986996580918514</v>
      </c>
      <c r="G95" s="136">
        <v>0.17284605301168865</v>
      </c>
      <c r="H95" s="136">
        <v>0.16213833429993763</v>
      </c>
      <c r="I95" s="136">
        <v>0.15456490421814029</v>
      </c>
      <c r="J95" s="137">
        <v>0.14880632052904175</v>
      </c>
    </row>
    <row r="96" spans="1:37">
      <c r="C96" s="768"/>
      <c r="D96" s="768"/>
      <c r="E96" s="669">
        <v>5.2499999999999998E-2</v>
      </c>
      <c r="F96" s="138">
        <v>0.14670988309178523</v>
      </c>
      <c r="G96" s="135">
        <v>0.14351876608269576</v>
      </c>
      <c r="H96" s="136">
        <v>0.14061045828087493</v>
      </c>
      <c r="I96" s="137">
        <v>0.13797272005588823</v>
      </c>
      <c r="J96" s="139">
        <v>0.13557818408953115</v>
      </c>
    </row>
    <row r="97" spans="3:11">
      <c r="C97" s="768"/>
      <c r="D97" s="768"/>
      <c r="E97" s="669">
        <v>5.5E-2</v>
      </c>
      <c r="F97" s="138">
        <v>0.10457717993324933</v>
      </c>
      <c r="G97" s="138">
        <v>0.11479703499513283</v>
      </c>
      <c r="H97" s="140">
        <v>0.11953460279816475</v>
      </c>
      <c r="I97" s="139">
        <v>0.12175812958060916</v>
      </c>
      <c r="J97" s="139">
        <v>0.12268205058662152</v>
      </c>
      <c r="K97" s="118"/>
    </row>
    <row r="98" spans="3:11">
      <c r="C98" s="768"/>
      <c r="D98" s="768"/>
      <c r="E98" s="669">
        <v>5.7500000000000002E-2</v>
      </c>
      <c r="F98" s="138">
        <v>6.3224395158712809E-2</v>
      </c>
      <c r="G98" s="141">
        <v>8.6531067660887029E-2</v>
      </c>
      <c r="H98" s="142">
        <v>9.8811115896269452E-2</v>
      </c>
      <c r="I98" s="143">
        <v>0.10585014182136776</v>
      </c>
      <c r="J98" s="139">
        <v>0.11006450369720766</v>
      </c>
    </row>
    <row r="99" spans="3:11">
      <c r="C99" s="768"/>
      <c r="D99" s="768"/>
      <c r="E99" s="669">
        <v>0.06</v>
      </c>
      <c r="F99" s="141">
        <v>2.2413320294210282E-2</v>
      </c>
      <c r="G99" s="142">
        <v>5.857737150493536E-2</v>
      </c>
      <c r="H99" s="142">
        <v>7.8346050281268731E-2</v>
      </c>
      <c r="I99" s="142">
        <v>9.0183028299102297E-2</v>
      </c>
      <c r="J99" s="143">
        <v>9.7676901812309591E-2</v>
      </c>
    </row>
  </sheetData>
  <mergeCells count="2">
    <mergeCell ref="F93:J93"/>
    <mergeCell ref="C95:D99"/>
  </mergeCells>
  <conditionalFormatting sqref="F95:J9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scale="48" orientation="portrait" r:id="rId1"/>
  <headerFooter>
    <oddHeader xml:space="preserve">&amp;L2019 ULI Hines Student Competition&amp;R2019-331 &amp;A 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EB797-C011-4CB0-A1C5-C125B913A16B}">
  <dimension ref="B1:Y39"/>
  <sheetViews>
    <sheetView showGridLines="0" workbookViewId="0"/>
  </sheetViews>
  <sheetFormatPr defaultRowHeight="14.4"/>
  <cols>
    <col min="1" max="1" width="8.88671875" style="692"/>
    <col min="2" max="2" width="16.6640625" style="692" bestFit="1" customWidth="1"/>
    <col min="3" max="6" width="8.88671875" style="692"/>
    <col min="7" max="7" width="9.88671875" style="692" bestFit="1" customWidth="1"/>
    <col min="8" max="10" width="8.88671875" style="692"/>
    <col min="11" max="11" width="11.33203125" style="692" bestFit="1" customWidth="1"/>
    <col min="12" max="12" width="4.77734375" style="692" customWidth="1"/>
    <col min="13" max="13" width="8.88671875" style="692"/>
    <col min="14" max="15" width="9.77734375" style="692" bestFit="1" customWidth="1"/>
    <col min="16" max="16" width="10.77734375" style="692" bestFit="1" customWidth="1"/>
    <col min="17" max="17" width="9.77734375" style="692" bestFit="1" customWidth="1"/>
    <col min="18" max="18" width="8.88671875" style="692"/>
    <col min="19" max="19" width="12" style="692" bestFit="1" customWidth="1"/>
    <col min="20" max="20" width="14.109375" style="692" bestFit="1" customWidth="1"/>
    <col min="21" max="21" width="10" style="692" bestFit="1" customWidth="1"/>
    <col min="22" max="22" width="15" style="692" bestFit="1" customWidth="1"/>
    <col min="23" max="23" width="15.21875" style="692" bestFit="1" customWidth="1"/>
    <col min="24" max="24" width="13.33203125" style="692" bestFit="1" customWidth="1"/>
    <col min="25" max="25" width="10.44140625" style="692" bestFit="1" customWidth="1"/>
    <col min="26" max="16384" width="8.88671875" style="692"/>
  </cols>
  <sheetData>
    <row r="1" spans="2:25">
      <c r="D1" s="693" t="s">
        <v>870</v>
      </c>
      <c r="E1" s="693" t="s">
        <v>871</v>
      </c>
      <c r="F1" s="693" t="s">
        <v>871</v>
      </c>
      <c r="G1" s="693" t="s">
        <v>872</v>
      </c>
      <c r="H1" s="693"/>
      <c r="I1" s="693" t="s">
        <v>873</v>
      </c>
      <c r="J1" s="693" t="s">
        <v>874</v>
      </c>
      <c r="K1" s="693" t="s">
        <v>875</v>
      </c>
      <c r="M1" s="694" t="s">
        <v>876</v>
      </c>
      <c r="N1" s="694" t="s">
        <v>876</v>
      </c>
      <c r="O1" s="694" t="s">
        <v>26</v>
      </c>
      <c r="P1" s="694" t="s">
        <v>628</v>
      </c>
      <c r="Q1" s="694" t="s">
        <v>877</v>
      </c>
      <c r="S1" s="711" t="s">
        <v>878</v>
      </c>
      <c r="T1" s="711" t="s">
        <v>879</v>
      </c>
      <c r="U1" s="711" t="s">
        <v>880</v>
      </c>
      <c r="V1" s="711" t="s">
        <v>881</v>
      </c>
      <c r="W1" s="711" t="s">
        <v>882</v>
      </c>
      <c r="X1" s="712" t="s">
        <v>883</v>
      </c>
      <c r="Y1" s="712" t="s">
        <v>884</v>
      </c>
    </row>
    <row r="2" spans="2:25">
      <c r="B2" s="692" t="s">
        <v>885</v>
      </c>
      <c r="D2" s="695">
        <v>1</v>
      </c>
      <c r="E2" s="695">
        <f>D2+1</f>
        <v>2</v>
      </c>
      <c r="F2" s="695">
        <f t="shared" ref="F2:G2" si="0">E2+1</f>
        <v>3</v>
      </c>
      <c r="G2" s="695">
        <f t="shared" si="0"/>
        <v>4</v>
      </c>
      <c r="H2" s="693"/>
      <c r="I2" s="695">
        <f>G2+1</f>
        <v>5</v>
      </c>
      <c r="J2" s="695">
        <f>I2+1</f>
        <v>6</v>
      </c>
      <c r="K2" s="695">
        <f>J2+1</f>
        <v>7</v>
      </c>
      <c r="L2" s="696"/>
      <c r="M2" s="697">
        <f>K2+1</f>
        <v>8</v>
      </c>
      <c r="N2" s="697">
        <f>M2+1</f>
        <v>9</v>
      </c>
      <c r="O2" s="697">
        <f>N2+1</f>
        <v>10</v>
      </c>
      <c r="P2" s="697">
        <f>O2+1</f>
        <v>11</v>
      </c>
      <c r="Q2" s="697">
        <f>P2+1</f>
        <v>12</v>
      </c>
      <c r="S2" s="711" t="s">
        <v>742</v>
      </c>
      <c r="T2" s="711" t="s">
        <v>733</v>
      </c>
      <c r="U2" s="711" t="s">
        <v>734</v>
      </c>
      <c r="V2" s="711" t="s">
        <v>735</v>
      </c>
      <c r="W2" s="711" t="s">
        <v>736</v>
      </c>
      <c r="X2" s="712" t="s">
        <v>737</v>
      </c>
      <c r="Y2" s="712" t="s">
        <v>744</v>
      </c>
    </row>
    <row r="3" spans="2:25">
      <c r="D3" s="693"/>
      <c r="E3" s="693"/>
      <c r="F3" s="693"/>
      <c r="G3" s="693"/>
      <c r="H3" s="693"/>
      <c r="I3" s="693"/>
      <c r="J3" s="693"/>
      <c r="K3" s="693"/>
      <c r="M3" s="694"/>
      <c r="N3" s="694"/>
      <c r="O3" s="694"/>
      <c r="P3" s="694"/>
      <c r="Q3" s="694"/>
      <c r="S3" s="713">
        <v>23157</v>
      </c>
      <c r="T3" s="713">
        <v>9410</v>
      </c>
      <c r="U3" s="713">
        <v>16294</v>
      </c>
      <c r="V3" s="713">
        <v>48426</v>
      </c>
      <c r="W3" s="713">
        <v>25914</v>
      </c>
      <c r="X3" s="714">
        <v>16451</v>
      </c>
      <c r="Y3" s="714">
        <v>31330</v>
      </c>
    </row>
    <row r="4" spans="2:25">
      <c r="B4" s="692">
        <f>B3+1</f>
        <v>1</v>
      </c>
      <c r="D4" s="698">
        <v>22500</v>
      </c>
      <c r="E4" s="698">
        <v>18938</v>
      </c>
      <c r="F4" s="698">
        <v>18235</v>
      </c>
      <c r="G4" s="698">
        <v>15783</v>
      </c>
      <c r="H4" s="698">
        <v>13422</v>
      </c>
      <c r="I4" s="698">
        <v>44261</v>
      </c>
      <c r="J4" s="698">
        <v>17532</v>
      </c>
      <c r="K4" s="698">
        <v>7743</v>
      </c>
      <c r="L4" s="700"/>
      <c r="M4" s="699">
        <v>54048</v>
      </c>
      <c r="N4" s="699">
        <v>22978</v>
      </c>
      <c r="O4" s="699">
        <v>25929</v>
      </c>
      <c r="P4" s="699">
        <v>63537</v>
      </c>
      <c r="Q4" s="699">
        <v>42605</v>
      </c>
    </row>
    <row r="5" spans="2:25">
      <c r="B5" s="692">
        <f t="shared" ref="B5:B28" si="1">B4+1</f>
        <v>2</v>
      </c>
      <c r="D5" s="698">
        <v>22500</v>
      </c>
      <c r="E5" s="698">
        <v>18938</v>
      </c>
      <c r="F5" s="698">
        <v>18235</v>
      </c>
      <c r="G5" s="698">
        <v>15783</v>
      </c>
      <c r="H5" s="698">
        <v>13422</v>
      </c>
      <c r="I5" s="698">
        <v>34801</v>
      </c>
      <c r="J5" s="698">
        <v>15686</v>
      </c>
      <c r="K5" s="698">
        <v>7252</v>
      </c>
      <c r="L5" s="700"/>
      <c r="M5" s="699">
        <v>55628</v>
      </c>
      <c r="N5" s="699">
        <v>22545</v>
      </c>
      <c r="O5" s="699">
        <v>25252</v>
      </c>
      <c r="P5" s="699">
        <v>63537</v>
      </c>
      <c r="Q5" s="699">
        <v>41986</v>
      </c>
    </row>
    <row r="6" spans="2:25">
      <c r="B6" s="692">
        <f t="shared" si="1"/>
        <v>3</v>
      </c>
      <c r="D6" s="698">
        <v>21592</v>
      </c>
      <c r="E6" s="698">
        <v>18938</v>
      </c>
      <c r="F6" s="698">
        <v>18235</v>
      </c>
      <c r="G6" s="698">
        <v>15783</v>
      </c>
      <c r="H6" s="698">
        <v>13422</v>
      </c>
      <c r="I6" s="698">
        <v>34801</v>
      </c>
      <c r="J6" s="698">
        <v>31891</v>
      </c>
      <c r="K6" s="698">
        <v>7252</v>
      </c>
      <c r="L6" s="700"/>
      <c r="M6" s="699">
        <v>55595</v>
      </c>
      <c r="N6" s="699">
        <v>18017</v>
      </c>
      <c r="O6" s="699">
        <v>21610</v>
      </c>
      <c r="P6" s="699">
        <v>29175</v>
      </c>
      <c r="Q6" s="699">
        <v>34386</v>
      </c>
    </row>
    <row r="7" spans="2:25">
      <c r="B7" s="692">
        <f t="shared" si="1"/>
        <v>4</v>
      </c>
      <c r="D7" s="698">
        <v>20901</v>
      </c>
      <c r="E7" s="698">
        <v>18938</v>
      </c>
      <c r="F7" s="698">
        <v>18235</v>
      </c>
      <c r="G7" s="698">
        <v>15783</v>
      </c>
      <c r="H7" s="698">
        <v>13422</v>
      </c>
      <c r="I7" s="693"/>
      <c r="J7" s="693"/>
      <c r="K7" s="698">
        <v>4532</v>
      </c>
      <c r="L7" s="700"/>
      <c r="M7" s="699">
        <v>55595</v>
      </c>
      <c r="N7" s="699">
        <v>17943</v>
      </c>
      <c r="O7" s="699">
        <v>21876</v>
      </c>
      <c r="P7" s="699">
        <v>29175</v>
      </c>
      <c r="Q7" s="699">
        <v>34265</v>
      </c>
    </row>
    <row r="8" spans="2:25">
      <c r="B8" s="692">
        <f t="shared" si="1"/>
        <v>5</v>
      </c>
      <c r="D8" s="698">
        <v>20428</v>
      </c>
      <c r="E8" s="698">
        <v>18938</v>
      </c>
      <c r="F8" s="698">
        <v>18235</v>
      </c>
      <c r="G8" s="698">
        <v>15783</v>
      </c>
      <c r="H8" s="698">
        <v>13422</v>
      </c>
      <c r="I8" s="693"/>
      <c r="J8" s="693"/>
      <c r="K8" s="698">
        <v>4532</v>
      </c>
      <c r="L8" s="700"/>
      <c r="M8" s="699">
        <v>61522</v>
      </c>
      <c r="N8" s="699">
        <v>17943</v>
      </c>
      <c r="O8" s="699">
        <v>20885</v>
      </c>
      <c r="P8" s="699">
        <v>29175</v>
      </c>
      <c r="Q8" s="699">
        <v>34386</v>
      </c>
    </row>
    <row r="9" spans="2:25">
      <c r="B9" s="692">
        <f t="shared" si="1"/>
        <v>6</v>
      </c>
      <c r="D9" s="698">
        <v>20121</v>
      </c>
      <c r="E9" s="698">
        <v>18938</v>
      </c>
      <c r="F9" s="698">
        <v>18235</v>
      </c>
      <c r="G9" s="698">
        <v>15783</v>
      </c>
      <c r="H9" s="698">
        <v>13422</v>
      </c>
      <c r="I9" s="693"/>
      <c r="J9" s="693"/>
      <c r="K9" s="693"/>
      <c r="M9" s="699">
        <v>28762</v>
      </c>
      <c r="N9" s="699">
        <v>17943</v>
      </c>
      <c r="O9" s="699">
        <v>13883</v>
      </c>
      <c r="P9" s="699">
        <v>29175</v>
      </c>
      <c r="Q9" s="699">
        <v>28600</v>
      </c>
    </row>
    <row r="10" spans="2:25">
      <c r="B10" s="692">
        <f t="shared" si="1"/>
        <v>7</v>
      </c>
      <c r="D10" s="698">
        <v>20121</v>
      </c>
      <c r="E10" s="698">
        <v>3197</v>
      </c>
      <c r="F10" s="698">
        <v>3064</v>
      </c>
      <c r="G10" s="698">
        <v>31038</v>
      </c>
      <c r="H10" s="693"/>
      <c r="I10" s="693"/>
      <c r="J10" s="693"/>
      <c r="K10" s="693"/>
      <c r="M10" s="699">
        <v>19611</v>
      </c>
      <c r="N10" s="699">
        <v>17943</v>
      </c>
      <c r="O10" s="699">
        <v>12401</v>
      </c>
      <c r="P10" s="699">
        <v>29175</v>
      </c>
      <c r="Q10" s="699">
        <v>28468</v>
      </c>
    </row>
    <row r="11" spans="2:25">
      <c r="B11" s="692">
        <f t="shared" si="1"/>
        <v>8</v>
      </c>
      <c r="D11" s="698">
        <v>20121</v>
      </c>
      <c r="E11" s="693"/>
      <c r="F11" s="693"/>
      <c r="G11" s="698">
        <v>15783</v>
      </c>
      <c r="H11" s="698">
        <v>9466</v>
      </c>
      <c r="I11" s="693"/>
      <c r="J11" s="693"/>
      <c r="K11" s="693"/>
      <c r="M11" s="699">
        <v>19611</v>
      </c>
      <c r="N11" s="699">
        <v>15458</v>
      </c>
      <c r="O11" s="699">
        <v>11745</v>
      </c>
      <c r="P11" s="699">
        <v>29175</v>
      </c>
      <c r="Q11" s="694"/>
    </row>
    <row r="12" spans="2:25">
      <c r="B12" s="692">
        <f t="shared" si="1"/>
        <v>9</v>
      </c>
      <c r="D12" s="698">
        <v>20121</v>
      </c>
      <c r="E12" s="693"/>
      <c r="F12" s="693"/>
      <c r="G12" s="698">
        <v>15783</v>
      </c>
      <c r="H12" s="698">
        <v>9159</v>
      </c>
      <c r="I12" s="693"/>
      <c r="J12" s="693"/>
      <c r="K12" s="693"/>
      <c r="M12" s="699">
        <v>19611</v>
      </c>
      <c r="N12" s="699">
        <v>15458</v>
      </c>
      <c r="O12" s="699">
        <v>10073</v>
      </c>
      <c r="P12" s="699">
        <v>19917</v>
      </c>
      <c r="Q12" s="694"/>
    </row>
    <row r="13" spans="2:25">
      <c r="B13" s="692">
        <f t="shared" si="1"/>
        <v>10</v>
      </c>
      <c r="D13" s="698">
        <v>20121</v>
      </c>
      <c r="E13" s="693"/>
      <c r="F13" s="693"/>
      <c r="G13" s="698">
        <v>15783</v>
      </c>
      <c r="H13" s="698">
        <v>8971</v>
      </c>
      <c r="I13" s="693"/>
      <c r="J13" s="693"/>
      <c r="K13" s="693"/>
      <c r="M13" s="699">
        <v>16416</v>
      </c>
      <c r="N13" s="699">
        <v>15458</v>
      </c>
      <c r="O13" s="694"/>
      <c r="P13" s="699">
        <v>19917</v>
      </c>
      <c r="Q13" s="694"/>
    </row>
    <row r="14" spans="2:25">
      <c r="B14" s="692">
        <f t="shared" si="1"/>
        <v>11</v>
      </c>
      <c r="D14" s="698">
        <v>20121</v>
      </c>
      <c r="E14" s="693"/>
      <c r="F14" s="693"/>
      <c r="G14" s="698">
        <v>30125</v>
      </c>
      <c r="H14" s="693"/>
      <c r="I14" s="693"/>
      <c r="J14" s="693"/>
      <c r="K14" s="693"/>
      <c r="M14" s="699">
        <v>16416</v>
      </c>
      <c r="N14" s="694"/>
      <c r="O14" s="694"/>
      <c r="P14" s="699">
        <v>19917</v>
      </c>
      <c r="Q14" s="694"/>
    </row>
    <row r="15" spans="2:25">
      <c r="B15" s="692">
        <f t="shared" si="1"/>
        <v>12</v>
      </c>
      <c r="D15" s="698">
        <v>20121</v>
      </c>
      <c r="E15" s="693"/>
      <c r="F15" s="693"/>
      <c r="G15" s="698">
        <v>4003</v>
      </c>
      <c r="H15" s="698">
        <v>8903</v>
      </c>
      <c r="I15" s="693"/>
      <c r="J15" s="693"/>
      <c r="K15" s="693"/>
      <c r="M15" s="699">
        <v>16416</v>
      </c>
      <c r="N15" s="694"/>
      <c r="O15" s="694"/>
      <c r="P15" s="699">
        <v>19917</v>
      </c>
      <c r="Q15" s="694"/>
    </row>
    <row r="16" spans="2:25">
      <c r="B16" s="692">
        <f t="shared" si="1"/>
        <v>13</v>
      </c>
      <c r="D16" s="698">
        <v>20121</v>
      </c>
      <c r="E16" s="693"/>
      <c r="F16" s="693"/>
      <c r="G16" s="698">
        <v>4003</v>
      </c>
      <c r="H16" s="698">
        <v>8903</v>
      </c>
      <c r="I16" s="693"/>
      <c r="J16" s="693"/>
      <c r="K16" s="693"/>
      <c r="M16" s="699">
        <v>16416</v>
      </c>
      <c r="N16" s="694"/>
      <c r="O16" s="694"/>
      <c r="P16" s="699">
        <v>19917</v>
      </c>
      <c r="Q16" s="694"/>
    </row>
    <row r="17" spans="2:17">
      <c r="B17" s="692">
        <f t="shared" si="1"/>
        <v>14</v>
      </c>
      <c r="D17" s="698">
        <v>20121</v>
      </c>
      <c r="E17" s="693"/>
      <c r="F17" s="693"/>
      <c r="G17" s="698">
        <v>4003</v>
      </c>
      <c r="H17" s="693"/>
      <c r="I17" s="693"/>
      <c r="J17" s="693"/>
      <c r="K17" s="693"/>
      <c r="M17" s="699">
        <v>19611</v>
      </c>
      <c r="N17" s="694"/>
      <c r="O17" s="694"/>
      <c r="P17" s="699">
        <v>19917</v>
      </c>
      <c r="Q17" s="694"/>
    </row>
    <row r="18" spans="2:17">
      <c r="B18" s="692">
        <f t="shared" si="1"/>
        <v>15</v>
      </c>
      <c r="D18" s="693"/>
      <c r="E18" s="693"/>
      <c r="F18" s="693"/>
      <c r="G18" s="698">
        <v>4003</v>
      </c>
      <c r="H18" s="693"/>
      <c r="I18" s="693"/>
      <c r="J18" s="693"/>
      <c r="K18" s="693"/>
      <c r="M18" s="699">
        <v>19611</v>
      </c>
      <c r="N18" s="694"/>
      <c r="O18" s="694"/>
      <c r="P18" s="699">
        <v>19917</v>
      </c>
      <c r="Q18" s="694"/>
    </row>
    <row r="19" spans="2:17">
      <c r="B19" s="692">
        <f t="shared" si="1"/>
        <v>16</v>
      </c>
      <c r="D19" s="693"/>
      <c r="E19" s="693"/>
      <c r="F19" s="693"/>
      <c r="G19" s="698">
        <v>4003</v>
      </c>
      <c r="H19" s="693"/>
      <c r="I19" s="693"/>
      <c r="J19" s="693"/>
      <c r="K19" s="693"/>
      <c r="M19" s="699">
        <v>19611</v>
      </c>
      <c r="N19" s="694"/>
      <c r="O19" s="694"/>
      <c r="P19" s="699">
        <v>19917</v>
      </c>
      <c r="Q19" s="694"/>
    </row>
    <row r="20" spans="2:17">
      <c r="B20" s="692">
        <f t="shared" si="1"/>
        <v>17</v>
      </c>
      <c r="D20" s="693"/>
      <c r="E20" s="693"/>
      <c r="F20" s="693"/>
      <c r="G20" s="698">
        <v>4003</v>
      </c>
      <c r="H20" s="693"/>
      <c r="I20" s="693"/>
      <c r="J20" s="693"/>
      <c r="K20" s="693"/>
      <c r="M20" s="699">
        <v>19611</v>
      </c>
      <c r="N20" s="694"/>
      <c r="O20" s="694"/>
      <c r="P20" s="699">
        <v>19917</v>
      </c>
      <c r="Q20" s="694"/>
    </row>
    <row r="21" spans="2:17">
      <c r="B21" s="692">
        <f t="shared" si="1"/>
        <v>18</v>
      </c>
      <c r="D21" s="693"/>
      <c r="E21" s="693"/>
      <c r="F21" s="693"/>
      <c r="G21" s="693"/>
      <c r="H21" s="693"/>
      <c r="I21" s="693"/>
      <c r="J21" s="693"/>
      <c r="K21" s="693"/>
      <c r="M21" s="699">
        <v>19611</v>
      </c>
      <c r="N21" s="694"/>
      <c r="O21" s="694"/>
      <c r="P21" s="699">
        <v>19917</v>
      </c>
      <c r="Q21" s="694"/>
    </row>
    <row r="22" spans="2:17">
      <c r="B22" s="692">
        <f t="shared" si="1"/>
        <v>19</v>
      </c>
      <c r="D22" s="693"/>
      <c r="E22" s="693"/>
      <c r="F22" s="693"/>
      <c r="G22" s="693"/>
      <c r="H22" s="693"/>
      <c r="I22" s="693"/>
      <c r="J22" s="693"/>
      <c r="K22" s="693"/>
      <c r="M22" s="694"/>
      <c r="N22" s="694"/>
      <c r="O22" s="694"/>
      <c r="P22" s="699">
        <v>19917</v>
      </c>
      <c r="Q22" s="694"/>
    </row>
    <row r="23" spans="2:17">
      <c r="B23" s="692">
        <f t="shared" si="1"/>
        <v>20</v>
      </c>
      <c r="D23" s="693"/>
      <c r="E23" s="693"/>
      <c r="F23" s="693"/>
      <c r="G23" s="693"/>
      <c r="H23" s="693"/>
      <c r="I23" s="693"/>
      <c r="J23" s="693"/>
      <c r="K23" s="693"/>
      <c r="M23" s="694"/>
      <c r="N23" s="694"/>
      <c r="O23" s="694"/>
      <c r="P23" s="699">
        <v>19917</v>
      </c>
      <c r="Q23" s="694"/>
    </row>
    <row r="24" spans="2:17" hidden="1">
      <c r="B24" s="692">
        <f t="shared" si="1"/>
        <v>21</v>
      </c>
      <c r="D24" s="693"/>
      <c r="E24" s="693"/>
      <c r="F24" s="693"/>
      <c r="G24" s="693"/>
      <c r="H24" s="693"/>
      <c r="I24" s="693"/>
      <c r="J24" s="693"/>
      <c r="K24" s="693"/>
      <c r="M24" s="694"/>
      <c r="N24" s="694"/>
      <c r="O24" s="694"/>
      <c r="P24" s="694"/>
      <c r="Q24" s="694"/>
    </row>
    <row r="25" spans="2:17" hidden="1">
      <c r="B25" s="692">
        <f t="shared" si="1"/>
        <v>22</v>
      </c>
      <c r="D25" s="693"/>
      <c r="E25" s="693"/>
      <c r="F25" s="693"/>
      <c r="G25" s="693"/>
      <c r="H25" s="693"/>
      <c r="I25" s="693"/>
      <c r="J25" s="693"/>
      <c r="K25" s="693"/>
      <c r="M25" s="694"/>
      <c r="N25" s="694"/>
      <c r="O25" s="694"/>
      <c r="P25" s="694"/>
      <c r="Q25" s="694"/>
    </row>
    <row r="26" spans="2:17" hidden="1">
      <c r="B26" s="692">
        <f t="shared" si="1"/>
        <v>23</v>
      </c>
      <c r="D26" s="693"/>
      <c r="E26" s="693"/>
      <c r="F26" s="693"/>
      <c r="G26" s="693"/>
      <c r="H26" s="693"/>
      <c r="I26" s="693"/>
      <c r="J26" s="693"/>
      <c r="K26" s="693"/>
      <c r="M26" s="694"/>
      <c r="N26" s="694"/>
      <c r="O26" s="694"/>
      <c r="P26" s="694"/>
      <c r="Q26" s="694"/>
    </row>
    <row r="27" spans="2:17" hidden="1">
      <c r="B27" s="692">
        <f t="shared" si="1"/>
        <v>24</v>
      </c>
      <c r="D27" s="693"/>
      <c r="E27" s="693"/>
      <c r="F27" s="693"/>
      <c r="G27" s="693"/>
      <c r="H27" s="693"/>
      <c r="I27" s="693"/>
      <c r="J27" s="693"/>
      <c r="K27" s="693"/>
      <c r="M27" s="694"/>
      <c r="N27" s="694"/>
      <c r="O27" s="694"/>
      <c r="P27" s="694"/>
      <c r="Q27" s="694"/>
    </row>
    <row r="28" spans="2:17" hidden="1">
      <c r="B28" s="692">
        <f t="shared" si="1"/>
        <v>25</v>
      </c>
      <c r="D28" s="693"/>
      <c r="E28" s="693"/>
      <c r="F28" s="693"/>
      <c r="G28" s="693"/>
      <c r="H28" s="693"/>
      <c r="I28" s="693"/>
      <c r="J28" s="693"/>
      <c r="K28" s="693"/>
      <c r="M28" s="694"/>
      <c r="N28" s="694"/>
      <c r="O28" s="694"/>
      <c r="P28" s="694"/>
      <c r="Q28" s="694"/>
    </row>
    <row r="29" spans="2:17" hidden="1">
      <c r="D29" s="693"/>
      <c r="E29" s="693"/>
      <c r="F29" s="693"/>
      <c r="G29" s="693"/>
      <c r="H29" s="693"/>
      <c r="I29" s="693"/>
      <c r="J29" s="693"/>
      <c r="K29" s="693"/>
      <c r="M29" s="694"/>
      <c r="N29" s="694"/>
      <c r="O29" s="694"/>
      <c r="P29" s="694"/>
      <c r="Q29" s="694"/>
    </row>
    <row r="30" spans="2:17">
      <c r="B30" s="692" t="s">
        <v>16</v>
      </c>
      <c r="D30" s="698">
        <f>SUM(D4:D28)</f>
        <v>289010</v>
      </c>
      <c r="E30" s="698">
        <f>SUM(E4:E28)</f>
        <v>116825</v>
      </c>
      <c r="F30" s="698">
        <f>SUM(F4:F28)</f>
        <v>112474</v>
      </c>
      <c r="G30" s="698">
        <f>SUM(G4:H20)</f>
        <v>353162</v>
      </c>
      <c r="H30" s="693"/>
      <c r="I30" s="698">
        <f>SUM(I4:I28)</f>
        <v>113863</v>
      </c>
      <c r="J30" s="698">
        <f>SUM(J4:J28)</f>
        <v>65109</v>
      </c>
      <c r="K30" s="698">
        <f>SUM(K4:K28)</f>
        <v>31311</v>
      </c>
      <c r="L30" s="700"/>
      <c r="M30" s="699">
        <f>SUM(M4:M28)</f>
        <v>533702</v>
      </c>
      <c r="N30" s="699">
        <f>SUM(N4:N28)</f>
        <v>181686</v>
      </c>
      <c r="O30" s="699">
        <f>SUM(O4:O28)</f>
        <v>163654</v>
      </c>
      <c r="P30" s="699">
        <f>SUM(P4:P28)</f>
        <v>541128</v>
      </c>
      <c r="Q30" s="699">
        <f>SUM(Q4:Q28)</f>
        <v>244696</v>
      </c>
    </row>
    <row r="31" spans="2:17">
      <c r="B31" s="692" t="s">
        <v>886</v>
      </c>
      <c r="D31" s="701">
        <f>D30/$D$33</f>
        <v>0.26716795130870791</v>
      </c>
      <c r="E31" s="701">
        <f t="shared" ref="E31:K31" si="2">E30/$D$33</f>
        <v>0.10799590295020864</v>
      </c>
      <c r="F31" s="701">
        <f t="shared" si="2"/>
        <v>0.1039737315507962</v>
      </c>
      <c r="G31" s="701">
        <f t="shared" si="2"/>
        <v>0.32647163772909554</v>
      </c>
      <c r="H31" s="701"/>
      <c r="I31" s="701">
        <f t="shared" si="2"/>
        <v>0.10525775730896303</v>
      </c>
      <c r="J31" s="701">
        <f t="shared" si="2"/>
        <v>6.0188360754848146E-2</v>
      </c>
      <c r="K31" s="701">
        <f t="shared" si="2"/>
        <v>2.894465839738055E-2</v>
      </c>
      <c r="M31" s="702">
        <f>M30/$D$34</f>
        <v>0.32056754117148167</v>
      </c>
      <c r="N31" s="702">
        <f t="shared" ref="N31:Q31" si="3">N30/$D$34</f>
        <v>0.10912950351559825</v>
      </c>
      <c r="O31" s="702">
        <f t="shared" si="3"/>
        <v>9.829860180939487E-2</v>
      </c>
      <c r="P31" s="702">
        <f t="shared" si="3"/>
        <v>0.32502796020820895</v>
      </c>
      <c r="Q31" s="702">
        <f t="shared" si="3"/>
        <v>0.14697639329531625</v>
      </c>
    </row>
    <row r="33" spans="2:20">
      <c r="B33" s="703" t="s">
        <v>542</v>
      </c>
      <c r="C33" s="703"/>
      <c r="D33" s="704">
        <f>SUM(D30:K30)</f>
        <v>1081754</v>
      </c>
      <c r="E33" s="705">
        <f>SUM(D31:K31)</f>
        <v>1</v>
      </c>
      <c r="S33" s="703" t="s">
        <v>887</v>
      </c>
      <c r="T33" s="704">
        <f>SUM(S3:W3)</f>
        <v>123201</v>
      </c>
    </row>
    <row r="34" spans="2:20">
      <c r="B34" s="706" t="s">
        <v>861</v>
      </c>
      <c r="C34" s="706"/>
      <c r="D34" s="707">
        <f>SUM(M30:Q30)</f>
        <v>1664866</v>
      </c>
      <c r="E34" s="705">
        <f>SUM(M31:Q31)</f>
        <v>1</v>
      </c>
      <c r="S34" s="706" t="s">
        <v>888</v>
      </c>
      <c r="T34" s="707">
        <f>SUM(X3:Y3)</f>
        <v>47781</v>
      </c>
    </row>
    <row r="35" spans="2:20">
      <c r="S35" s="708"/>
      <c r="T35" s="708"/>
    </row>
    <row r="36" spans="2:20">
      <c r="B36" s="708" t="s">
        <v>889</v>
      </c>
      <c r="C36" s="708"/>
      <c r="D36" s="709">
        <f>SUM(D33:D34)</f>
        <v>2746620</v>
      </c>
      <c r="S36" s="708" t="s">
        <v>890</v>
      </c>
      <c r="T36" s="709">
        <f>SUM(T33:T34)</f>
        <v>170982</v>
      </c>
    </row>
    <row r="37" spans="2:20">
      <c r="B37" s="708" t="s">
        <v>891</v>
      </c>
      <c r="C37" s="708"/>
      <c r="D37" s="709">
        <f>T36</f>
        <v>170982</v>
      </c>
    </row>
    <row r="38" spans="2:20">
      <c r="B38" s="708"/>
      <c r="C38" s="708"/>
      <c r="D38" s="708"/>
    </row>
    <row r="39" spans="2:20">
      <c r="B39" s="708" t="s">
        <v>892</v>
      </c>
      <c r="C39" s="708"/>
      <c r="D39" s="709">
        <f>SUM(D36:D37)</f>
        <v>2917602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0ECE4-976A-4689-9214-941078AC6895}">
  <sheetPr>
    <tabColor rgb="FF92D050"/>
    <pageSetUpPr fitToPage="1"/>
  </sheetPr>
  <dimension ref="B9:U34"/>
  <sheetViews>
    <sheetView showGridLines="0" view="pageBreakPreview" zoomScaleNormal="100" zoomScaleSheetLayoutView="100" workbookViewId="0"/>
  </sheetViews>
  <sheetFormatPr defaultRowHeight="13.2"/>
  <cols>
    <col min="1" max="1" width="2.77734375" customWidth="1"/>
    <col min="2" max="2" width="21.33203125" bestFit="1" customWidth="1"/>
    <col min="3" max="3" width="2.5546875" customWidth="1"/>
    <col min="4" max="7" width="11.77734375" style="624" bestFit="1" customWidth="1"/>
    <col min="8" max="9" width="11.77734375" style="624" customWidth="1"/>
    <col min="10" max="10" width="11.77734375" style="624" bestFit="1" customWidth="1"/>
    <col min="11" max="11" width="7.5546875" style="625" bestFit="1" customWidth="1"/>
    <col min="12" max="12" width="1.77734375" style="626" customWidth="1"/>
    <col min="13" max="13" width="21.33203125" style="645" bestFit="1" customWidth="1"/>
    <col min="14" max="14" width="3" style="624" customWidth="1"/>
    <col min="15" max="17" width="11.77734375" style="624" bestFit="1" customWidth="1"/>
    <col min="18" max="18" width="12.77734375" style="624" bestFit="1" customWidth="1"/>
    <col min="19" max="19" width="11.77734375" style="624" bestFit="1" customWidth="1"/>
    <col min="20" max="20" width="9.109375" style="522" bestFit="1" customWidth="1"/>
    <col min="21" max="21" width="8.88671875" style="427"/>
  </cols>
  <sheetData>
    <row r="9" spans="2:21">
      <c r="B9" s="410" t="s">
        <v>762</v>
      </c>
    </row>
    <row r="12" spans="2:21" s="206" customFormat="1">
      <c r="B12" s="539" t="s">
        <v>825</v>
      </c>
      <c r="C12" s="539"/>
      <c r="D12" s="627">
        <f>'Building Source Data v02'!D30</f>
        <v>289010</v>
      </c>
      <c r="E12" s="627">
        <f>'Building Source Data v02'!E30</f>
        <v>116825</v>
      </c>
      <c r="F12" s="627">
        <f>'Building Source Data v02'!F30</f>
        <v>112474</v>
      </c>
      <c r="G12" s="627">
        <f>'Building Source Data v02'!G30</f>
        <v>353162</v>
      </c>
      <c r="H12" s="627">
        <f>'Building Source Data v02'!I30</f>
        <v>113863</v>
      </c>
      <c r="I12" s="627">
        <f>'Building Source Data v02'!J30</f>
        <v>65109</v>
      </c>
      <c r="J12" s="627">
        <f>'Building Source Data v02'!K30</f>
        <v>31311</v>
      </c>
      <c r="K12" s="628"/>
      <c r="L12" s="629"/>
      <c r="M12" s="646" t="s">
        <v>824</v>
      </c>
      <c r="N12" s="630"/>
      <c r="O12" s="631">
        <f>'Building Source Data v02'!M30</f>
        <v>533702</v>
      </c>
      <c r="P12" s="631">
        <f>'Building Source Data v02'!N30</f>
        <v>181686</v>
      </c>
      <c r="Q12" s="631">
        <f>'Building Source Data v02'!O30</f>
        <v>163654</v>
      </c>
      <c r="R12" s="631">
        <f>'Building Source Data v02'!P30</f>
        <v>541128</v>
      </c>
      <c r="S12" s="631">
        <f>'Building Source Data v02'!Q30</f>
        <v>244696</v>
      </c>
      <c r="T12" s="540"/>
      <c r="U12" s="541"/>
    </row>
    <row r="13" spans="2:21" s="167" customFormat="1" ht="7.2" customHeight="1">
      <c r="B13" s="538"/>
      <c r="C13" s="538"/>
      <c r="D13" s="632"/>
      <c r="E13" s="632"/>
      <c r="F13" s="632"/>
      <c r="G13" s="632"/>
      <c r="H13" s="632"/>
      <c r="I13" s="632"/>
      <c r="J13" s="632"/>
      <c r="K13" s="633"/>
      <c r="L13" s="634"/>
      <c r="M13" s="647"/>
      <c r="N13" s="635"/>
      <c r="O13" s="636"/>
      <c r="P13" s="636"/>
      <c r="Q13" s="636"/>
      <c r="R13" s="636"/>
      <c r="S13" s="636"/>
      <c r="T13" s="520"/>
      <c r="U13" s="522"/>
    </row>
    <row r="14" spans="2:21">
      <c r="B14" t="s">
        <v>807</v>
      </c>
      <c r="D14" s="637">
        <f>D12-D19</f>
        <v>266510</v>
      </c>
      <c r="E14" s="638">
        <v>0</v>
      </c>
      <c r="F14" s="638">
        <v>0</v>
      </c>
      <c r="G14" s="637">
        <f>G12-G19</f>
        <v>323957</v>
      </c>
      <c r="H14" s="638">
        <v>0</v>
      </c>
      <c r="I14" s="638">
        <v>0</v>
      </c>
      <c r="J14" s="638">
        <v>0</v>
      </c>
      <c r="K14" s="639">
        <f>SUM(D14:J14)</f>
        <v>590467</v>
      </c>
      <c r="L14" s="626" t="e">
        <f>K14/$K$34</f>
        <v>#DIV/0!</v>
      </c>
      <c r="M14" s="645" t="s">
        <v>807</v>
      </c>
      <c r="O14" s="637">
        <f>O12-O19</f>
        <v>479654</v>
      </c>
      <c r="P14" s="637">
        <f>P12-P19</f>
        <v>158708</v>
      </c>
      <c r="Q14" s="638">
        <v>0</v>
      </c>
      <c r="R14" s="638">
        <v>0</v>
      </c>
      <c r="S14" s="638">
        <v>0</v>
      </c>
      <c r="T14" s="520">
        <f>SUM(O14:S14)</f>
        <v>638362</v>
      </c>
    </row>
    <row r="15" spans="2:21">
      <c r="B15" t="s">
        <v>808</v>
      </c>
      <c r="D15" s="640">
        <f>ROUNDDOWN(D14/'Phase I - CF MF Market Rental'!$G$16*'Phase I - CF MF Market Rental'!$G$14,0)</f>
        <v>226</v>
      </c>
      <c r="E15" s="638">
        <f>ROUNDDOWN(E14/'Phase I - CF MF Market Rental'!$G$16*'Phase I - CF MF Market Rental'!$G$14,0)</f>
        <v>0</v>
      </c>
      <c r="F15" s="638">
        <f>ROUNDDOWN(F14/'Phase I - CF MF Market Rental'!$G$16*'Phase I - CF MF Market Rental'!$G$14,0)</f>
        <v>0</v>
      </c>
      <c r="G15" s="640">
        <f>ROUNDDOWN(G14/'Phase I - CF MF Market Rental'!$G$16*'Phase I - CF MF Market Rental'!$G$14,0)</f>
        <v>275</v>
      </c>
      <c r="H15" s="638">
        <f>ROUNDDOWN(H14/'Phase I - CF MF Market Rental'!$G$16*'Phase I - CF MF Market Rental'!$G$14,0)</f>
        <v>0</v>
      </c>
      <c r="I15" s="638">
        <f>ROUNDDOWN(I14/'Phase I - CF MF Market Rental'!$G$16*'Phase I - CF MF Market Rental'!$G$14,0)</f>
        <v>0</v>
      </c>
      <c r="J15" s="638">
        <f>ROUNDDOWN(J14/'Phase I - CF MF Market Rental'!$G$16*'Phase I - CF MF Market Rental'!$G$14,0)</f>
        <v>0</v>
      </c>
      <c r="M15" s="645" t="s">
        <v>808</v>
      </c>
      <c r="O15" s="640">
        <f>ROUNDDOWN(O14/'Phase I - CF MF Market Rental'!$G$16*'Phase II - CF MF Market Rental'!$G$14,0)</f>
        <v>407</v>
      </c>
      <c r="P15" s="640">
        <f>ROUNDDOWN(P14/'Phase I - CF MF Market Rental'!$G$16*'Phase II - CF MF Market Rental'!$G$14,0)</f>
        <v>134</v>
      </c>
      <c r="Q15" s="638">
        <f>ROUNDDOWN(Q14/'Phase I - CF MF Market Rental'!$G$16*'Phase II - CF MF Market Rental'!$G$14,0)</f>
        <v>0</v>
      </c>
      <c r="R15" s="638">
        <f>ROUNDDOWN(R14/'Phase I - CF MF Market Rental'!$G$16*'Phase II - CF MF Market Rental'!$G$14,0)</f>
        <v>0</v>
      </c>
      <c r="S15" s="638">
        <f>ROUNDDOWN(S14/'Phase I - CF MF Market Rental'!$G$16*'Phase II - CF MF Market Rental'!$G$14,0)</f>
        <v>0</v>
      </c>
    </row>
    <row r="16" spans="2:21">
      <c r="B16" t="s">
        <v>809</v>
      </c>
      <c r="D16" s="640">
        <f>D15*'Area Matrix'!$F$20</f>
        <v>67.8</v>
      </c>
      <c r="E16" s="638">
        <v>0</v>
      </c>
      <c r="F16" s="638">
        <v>0</v>
      </c>
      <c r="G16" s="640">
        <f>G15*'Area Matrix'!$F$20</f>
        <v>82.5</v>
      </c>
      <c r="H16" s="638">
        <v>0</v>
      </c>
      <c r="I16" s="638">
        <v>0</v>
      </c>
      <c r="J16" s="638">
        <v>0</v>
      </c>
      <c r="M16" s="645" t="s">
        <v>809</v>
      </c>
      <c r="O16" s="640">
        <f>O15*'Area Matrix'!$F$20</f>
        <v>122.1</v>
      </c>
      <c r="P16" s="638">
        <f>P15*'Area Matrix'!$F$20</f>
        <v>40.199999999999996</v>
      </c>
      <c r="Q16" s="638">
        <f>Q15*'Area Matrix'!$F$20</f>
        <v>0</v>
      </c>
      <c r="R16" s="638">
        <v>0</v>
      </c>
      <c r="S16" s="638">
        <v>0</v>
      </c>
    </row>
    <row r="17" spans="2:21">
      <c r="B17" t="s">
        <v>810</v>
      </c>
      <c r="D17" s="640">
        <f>D15-D16</f>
        <v>158.19999999999999</v>
      </c>
      <c r="E17" s="638">
        <v>0</v>
      </c>
      <c r="F17" s="638">
        <v>0</v>
      </c>
      <c r="G17" s="640">
        <f>G15-G16</f>
        <v>192.5</v>
      </c>
      <c r="H17" s="638">
        <v>0</v>
      </c>
      <c r="I17" s="638">
        <v>0</v>
      </c>
      <c r="J17" s="638">
        <v>0</v>
      </c>
      <c r="M17" s="645" t="s">
        <v>810</v>
      </c>
      <c r="O17" s="640">
        <f>O15-O16</f>
        <v>284.89999999999998</v>
      </c>
      <c r="P17" s="640">
        <f>P15-P16</f>
        <v>93.800000000000011</v>
      </c>
      <c r="Q17" s="638">
        <f>Q15-Q16</f>
        <v>0</v>
      </c>
      <c r="R17" s="638">
        <v>0</v>
      </c>
      <c r="S17" s="638">
        <v>0</v>
      </c>
    </row>
    <row r="18" spans="2:21">
      <c r="B18" t="s">
        <v>811</v>
      </c>
      <c r="D18" s="638">
        <v>0</v>
      </c>
      <c r="E18" s="637">
        <f>E12-E19</f>
        <v>97887</v>
      </c>
      <c r="F18" s="637">
        <f>F12-F19</f>
        <v>94239</v>
      </c>
      <c r="G18" s="638">
        <v>0</v>
      </c>
      <c r="H18" s="638">
        <f>H12-H19</f>
        <v>69602</v>
      </c>
      <c r="I18" s="638">
        <f>I12-I19</f>
        <v>47577</v>
      </c>
      <c r="J18" s="637">
        <f>J12-J19</f>
        <v>23568</v>
      </c>
      <c r="K18" s="639">
        <f>SUM(D18:J18)</f>
        <v>332873</v>
      </c>
      <c r="L18" s="626" t="e">
        <f>K18/$K$34</f>
        <v>#DIV/0!</v>
      </c>
      <c r="M18" s="645" t="s">
        <v>811</v>
      </c>
      <c r="O18" s="638">
        <v>0</v>
      </c>
      <c r="P18" s="638">
        <v>0</v>
      </c>
      <c r="Q18" s="638">
        <v>0</v>
      </c>
      <c r="R18" s="637">
        <f>R12-R19</f>
        <v>477591</v>
      </c>
      <c r="S18" s="637">
        <f>S12-S19</f>
        <v>202091</v>
      </c>
      <c r="T18" s="520">
        <f>SUM(O18:S18)</f>
        <v>679682</v>
      </c>
    </row>
    <row r="19" spans="2:21">
      <c r="B19" t="s">
        <v>812</v>
      </c>
      <c r="D19" s="637">
        <f>'Building Source Data v02'!D4</f>
        <v>22500</v>
      </c>
      <c r="E19" s="637">
        <f>'Building Source Data v02'!E4</f>
        <v>18938</v>
      </c>
      <c r="F19" s="637">
        <f>'Building Source Data v02'!F4</f>
        <v>18235</v>
      </c>
      <c r="G19" s="637">
        <f>SUM('Building Source Data v02'!G4:H4)</f>
        <v>29205</v>
      </c>
      <c r="H19" s="637">
        <f>'Building Source Data v02'!I4</f>
        <v>44261</v>
      </c>
      <c r="I19" s="637">
        <f>'Building Source Data v02'!J4</f>
        <v>17532</v>
      </c>
      <c r="J19" s="637">
        <f>'Building Source Data v02'!K4</f>
        <v>7743</v>
      </c>
      <c r="K19" s="639">
        <f>'Area Matrix'!$D$22-SUM(D19:J19)</f>
        <v>0</v>
      </c>
      <c r="L19" s="626" t="e">
        <f>K19/$K$34</f>
        <v>#DIV/0!</v>
      </c>
      <c r="M19" s="645" t="s">
        <v>812</v>
      </c>
      <c r="O19" s="637">
        <f>'Building Source Data'!N4</f>
        <v>54048</v>
      </c>
      <c r="P19" s="637">
        <f>'Building Source Data'!O4</f>
        <v>22978</v>
      </c>
      <c r="Q19" s="637">
        <f>'Building Source Data'!P4</f>
        <v>25929</v>
      </c>
      <c r="R19" s="637">
        <f>'Building Source Data'!Q4</f>
        <v>63537</v>
      </c>
      <c r="S19" s="637">
        <f>'Building Source Data'!R4</f>
        <v>42605</v>
      </c>
      <c r="T19" s="521">
        <f>'Area Matrix'!$D$45-SUM(O19:S19)</f>
        <v>0</v>
      </c>
      <c r="U19" s="1" t="s">
        <v>863</v>
      </c>
    </row>
    <row r="20" spans="2:21">
      <c r="B20" t="s">
        <v>813</v>
      </c>
      <c r="D20" s="638">
        <v>0</v>
      </c>
      <c r="E20" s="638">
        <v>0</v>
      </c>
      <c r="F20" s="638">
        <v>0</v>
      </c>
      <c r="G20" s="638">
        <v>0</v>
      </c>
      <c r="H20" s="638">
        <v>0</v>
      </c>
      <c r="I20" s="638">
        <v>0</v>
      </c>
      <c r="J20" s="638">
        <v>0</v>
      </c>
      <c r="K20" s="639">
        <f>SUM(D20:J20)</f>
        <v>0</v>
      </c>
      <c r="L20" s="626" t="e">
        <f>K20/$K$34</f>
        <v>#DIV/0!</v>
      </c>
      <c r="M20" s="645" t="s">
        <v>813</v>
      </c>
      <c r="O20" s="638">
        <v>0</v>
      </c>
      <c r="P20" s="638">
        <v>0</v>
      </c>
      <c r="Q20" s="638">
        <f>Q12-Q19</f>
        <v>137725</v>
      </c>
      <c r="R20" s="638">
        <v>0</v>
      </c>
      <c r="S20" s="638">
        <v>0</v>
      </c>
      <c r="T20" s="520">
        <f>SUM(O20:S20)</f>
        <v>137725</v>
      </c>
    </row>
    <row r="21" spans="2:21">
      <c r="B21" t="s">
        <v>814</v>
      </c>
      <c r="D21" s="624">
        <f>ROUNDUP(D15/1.5,0)</f>
        <v>151</v>
      </c>
      <c r="E21" s="638">
        <v>0</v>
      </c>
      <c r="F21" s="638">
        <v>0</v>
      </c>
      <c r="G21" s="624">
        <f>ROUNDUP(G15/1.5,0)</f>
        <v>184</v>
      </c>
      <c r="H21" s="638">
        <v>0</v>
      </c>
      <c r="I21" s="638">
        <v>0</v>
      </c>
      <c r="J21" s="638">
        <v>0</v>
      </c>
      <c r="M21" s="645" t="s">
        <v>814</v>
      </c>
      <c r="O21" s="624">
        <f>ROUNDUP(O15/1.5,0)</f>
        <v>272</v>
      </c>
      <c r="P21" s="624">
        <f>ROUNDUP(P15/1.5,0)</f>
        <v>90</v>
      </c>
      <c r="Q21" s="638">
        <f>ROUNDUP(Q15/1.5,0)</f>
        <v>0</v>
      </c>
      <c r="R21" s="638">
        <v>0</v>
      </c>
      <c r="S21" s="638">
        <v>0</v>
      </c>
    </row>
    <row r="22" spans="2:21">
      <c r="E22" s="56"/>
      <c r="F22" s="56"/>
      <c r="J22" s="56"/>
      <c r="R22" s="56"/>
      <c r="S22" s="56"/>
    </row>
    <row r="23" spans="2:21">
      <c r="B23" s="518" t="s">
        <v>815</v>
      </c>
      <c r="M23" s="648" t="s">
        <v>815</v>
      </c>
    </row>
    <row r="24" spans="2:21" hidden="1">
      <c r="B24" t="s">
        <v>816</v>
      </c>
      <c r="M24" s="645" t="s">
        <v>816</v>
      </c>
    </row>
    <row r="25" spans="2:21" hidden="1">
      <c r="B25" t="s">
        <v>817</v>
      </c>
      <c r="M25" s="645" t="s">
        <v>817</v>
      </c>
    </row>
    <row r="26" spans="2:21" hidden="1">
      <c r="B26" t="s">
        <v>818</v>
      </c>
      <c r="M26" s="645" t="s">
        <v>818</v>
      </c>
    </row>
    <row r="27" spans="2:21" hidden="1">
      <c r="B27" t="s">
        <v>819</v>
      </c>
      <c r="M27" s="645" t="s">
        <v>819</v>
      </c>
    </row>
    <row r="28" spans="2:21">
      <c r="B28" s="1" t="s">
        <v>826</v>
      </c>
      <c r="D28" s="641">
        <f>SUM(D$14*'Area Matrix'!$D$27,'Building Summary'!D$18*'Area Matrix'!$D$29,'Building Summary'!D$19*'Area Matrix'!$D$30,'Building Summary'!D$20*'Area Matrix'!$D$31)</f>
        <v>50351750</v>
      </c>
      <c r="E28" s="641">
        <f>SUM(E$14*'Area Matrix'!$D$27,'Building Summary'!E$18*'Area Matrix'!$D$29,'Building Summary'!E$19*'Area Matrix'!$D$30,'Building Summary'!E$20*'Area Matrix'!$D$31)</f>
        <v>21233865</v>
      </c>
      <c r="F28" s="641">
        <f>SUM(F$14*'Area Matrix'!$D$27,'Building Summary'!F$18*'Area Matrix'!$D$29,'Building Summary'!F$19*'Area Matrix'!$D$30,'Building Summary'!F$20*'Area Matrix'!$D$31)</f>
        <v>20442990</v>
      </c>
      <c r="G28" s="641">
        <f>SUM(G$14*'Area Matrix'!$D$27,'Building Summary'!G$18*'Area Matrix'!$D$29,'Building Summary'!G$19*'Area Matrix'!$D$30,'Building Summary'!G$20*'Area Matrix'!$D$31)</f>
        <v>61511300</v>
      </c>
      <c r="H28" s="641">
        <f>SUM(H$14*'Area Matrix'!$D$27,'Building Summary'!H$18*'Area Matrix'!$D$29,'Building Summary'!H$19*'Area Matrix'!$D$30,'Building Summary'!H$20*'Area Matrix'!$D$31)</f>
        <v>20179435</v>
      </c>
      <c r="I28" s="641">
        <f>SUM(I$14*'Area Matrix'!$D$27,'Building Summary'!I$18*'Area Matrix'!$D$29,'Building Summary'!I$19*'Area Matrix'!$D$30,'Building Summary'!I$20*'Area Matrix'!$D$31)</f>
        <v>11694525</v>
      </c>
      <c r="J28" s="641">
        <f>SUM(J$14*'Area Matrix'!$D$27,'Building Summary'!J$18*'Area Matrix'!$D$29,'Building Summary'!J$19*'Area Matrix'!$D$30,'Building Summary'!J$20*'Area Matrix'!$D$31)</f>
        <v>5637675</v>
      </c>
      <c r="M28" s="649" t="s">
        <v>826</v>
      </c>
      <c r="O28" s="641">
        <f>SUM(O$14*'Area Matrix'!$D$50,'Building Summary'!O$18*'Area Matrix'!$D$52,'Building Summary'!O$19*'Area Matrix'!$D$53,'Building Summary'!O$20*'Area Matrix'!$D$54)</f>
        <v>94714517.400000006</v>
      </c>
      <c r="P28" s="641">
        <f>SUM(P$14*'Area Matrix'!$D$50,'Building Summary'!P$18*'Area Matrix'!$D$52,'Building Summary'!P$19*'Area Matrix'!$D$53,'Building Summary'!P$20*'Area Matrix'!$D$54)</f>
        <v>32196575.399999999</v>
      </c>
      <c r="Q28" s="641">
        <f>SUM(Q$14*'Area Matrix'!$D$50,'Building Summary'!Q$18*'Area Matrix'!$D$52,'Building Summary'!Q$19*'Area Matrix'!$D$53,'Building Summary'!Q$20*'Area Matrix'!$D$54)</f>
        <v>27542968.199999999</v>
      </c>
      <c r="R28" s="641">
        <f>SUM(R$14*'Area Matrix'!$D$50,'Building Summary'!R$18*'Area Matrix'!$D$52,'Building Summary'!R$19*'Area Matrix'!$D$53,'Building Summary'!R$20*'Area Matrix'!$D$54)</f>
        <v>100814698.80000001</v>
      </c>
      <c r="S28" s="641">
        <f>SUM(S$14*'Area Matrix'!$D$50,'Building Summary'!S$18*'Area Matrix'!$D$52,'Building Summary'!S$19*'Area Matrix'!$D$53,'Building Summary'!S$20*'Area Matrix'!$D$54)</f>
        <v>45304993.200000003</v>
      </c>
    </row>
    <row r="29" spans="2:21">
      <c r="B29" t="s">
        <v>820</v>
      </c>
      <c r="D29" s="641">
        <f ca="1">(D$12/SUM($D$12,$G$12)*'Phase I - Summary'!$H$25)</f>
        <v>24990821.769273773</v>
      </c>
      <c r="E29" s="638">
        <v>0</v>
      </c>
      <c r="F29" s="638">
        <v>0</v>
      </c>
      <c r="G29" s="641">
        <f ca="1">(G$12/SUM($D$12,$G$12)*'Phase I - Summary'!$H$25)</f>
        <v>30538073.415038455</v>
      </c>
      <c r="H29" s="638">
        <v>0</v>
      </c>
      <c r="I29" s="638">
        <v>0</v>
      </c>
      <c r="J29" s="638">
        <v>0</v>
      </c>
      <c r="M29" s="645" t="s">
        <v>821</v>
      </c>
      <c r="O29" s="641">
        <f ca="1">(O$16/SUM($O$16+$P$16)*'Phase II - Summary'!$H$25)</f>
        <v>17534468.180064652</v>
      </c>
      <c r="P29" s="641">
        <f ca="1">(P$16/SUM($O$16+$P$16)*'Phase II - Summary'!$H$25)</f>
        <v>5773019.0076871328</v>
      </c>
      <c r="Q29" s="638">
        <f ca="1">(Q$16/SUM($O$16+$Q$16)*'Phase II - Summary'!$H$25)</f>
        <v>0</v>
      </c>
      <c r="R29" s="638">
        <v>0</v>
      </c>
      <c r="S29" s="638">
        <v>0</v>
      </c>
    </row>
    <row r="30" spans="2:21">
      <c r="B30" t="s">
        <v>821</v>
      </c>
      <c r="D30" s="641">
        <f ca="1">(D$16/SUM($D$16+$G$16)*'Phase I - Summary'!$H$26)</f>
        <v>8137527.3201124826</v>
      </c>
      <c r="E30" s="638">
        <v>0</v>
      </c>
      <c r="F30" s="638">
        <v>0</v>
      </c>
      <c r="G30" s="641">
        <f ca="1">(G$16/SUM($D$16+$G$16)*'Phase I - Summary'!$H$26)</f>
        <v>9901858.4647386409</v>
      </c>
      <c r="H30" s="638">
        <f ca="1">(H$16/SUM($D$16+$G$16)*'Phase I - Summary'!$H$26)</f>
        <v>0</v>
      </c>
      <c r="I30" s="638">
        <f ca="1">(I$16/SUM($D$16+$G$16)*'Phase I - Summary'!$H$26)</f>
        <v>0</v>
      </c>
      <c r="J30" s="638">
        <v>0</v>
      </c>
      <c r="M30" s="649" t="s">
        <v>823</v>
      </c>
      <c r="O30" s="641">
        <f ca="1">(O$12/SUM($O$12:$S$12)*'Phase II - Summary'!$H$26)</f>
        <v>10676918.217488907</v>
      </c>
      <c r="P30" s="641">
        <f ca="1">(P$12/SUM($O$12:$S$12)*'Phase II - Summary'!$H$26)</f>
        <v>3634699.8198670601</v>
      </c>
      <c r="Q30" s="641">
        <f ca="1">(Q$12/SUM($O$12:$S$12)*'Phase II - Summary'!$H$26)</f>
        <v>3273962.5745545821</v>
      </c>
      <c r="R30" s="641">
        <f ca="1">(R$12/SUM($O$12:$S$12)*'Phase II - Summary'!$H$26)</f>
        <v>10825478.265386559</v>
      </c>
      <c r="S30" s="641">
        <f ca="1">(S$12/SUM($O$12:$S$12)*'Phase II - Summary'!$H$26)</f>
        <v>4895239.6283818791</v>
      </c>
    </row>
    <row r="31" spans="2:21">
      <c r="B31" s="1" t="s">
        <v>823</v>
      </c>
      <c r="D31" s="641">
        <f ca="1">(D$12/SUM($D$12:$J$12)*'Phase I - Summary'!$H$27)</f>
        <v>302546.00108290225</v>
      </c>
      <c r="E31" s="641">
        <f ca="1">(E$12/SUM($D$12:$J$12)*'Phase I - Summary'!$H$27)</f>
        <v>122296.58688803174</v>
      </c>
      <c r="F31" s="641">
        <f ca="1">(F$12/SUM($D$12:$J$12)*'Phase I - Summary'!$H$27)</f>
        <v>117741.80452509721</v>
      </c>
      <c r="G31" s="641">
        <f ca="1">(G$12/SUM($D$12:$J$12)*'Phase I - Summary'!$H$27)</f>
        <v>369702.60833341384</v>
      </c>
      <c r="H31" s="641">
        <f ca="1">(H$12/SUM($D$12:$J$12)*'Phase I - Summary'!$H$27)</f>
        <v>119195.85938653506</v>
      </c>
      <c r="I31" s="641">
        <f ca="1">(I$12/SUM($D$12:$J$12)*'Phase I - Summary'!$H$27)</f>
        <v>68158.429066491415</v>
      </c>
      <c r="J31" s="641">
        <f ca="1">(J$12/SUM($D$12:$J$12)*'Phase I - Summary'!$H$27)</f>
        <v>32777.474273923923</v>
      </c>
      <c r="M31" s="645" t="s">
        <v>822</v>
      </c>
      <c r="O31" s="641">
        <f>(O$12/SUM($O$12+$P$12)*'Phase II - Summary'!$H$27)</f>
        <v>8579362.5277471803</v>
      </c>
      <c r="P31" s="641">
        <f>(P$12/SUM($O$12+$P$12)*'Phase II - Summary'!$H$27)</f>
        <v>2920637.4722528192</v>
      </c>
      <c r="Q31" s="638">
        <v>0</v>
      </c>
      <c r="R31" s="638">
        <v>0</v>
      </c>
      <c r="S31" s="638">
        <v>0</v>
      </c>
    </row>
    <row r="32" spans="2:21">
      <c r="B32" t="s">
        <v>822</v>
      </c>
      <c r="D32" s="641">
        <f>(D$12/SUM($D$12+$G$12)*'Phase I - Summary'!$H$28)</f>
        <v>5175583.7999788215</v>
      </c>
      <c r="E32" s="638">
        <v>0</v>
      </c>
      <c r="F32" s="638">
        <v>0</v>
      </c>
      <c r="G32" s="641">
        <f>(G$12/SUM($D$12+$G$12)*'Phase I - Summary'!$H$28)</f>
        <v>6324416.2000211775</v>
      </c>
      <c r="H32" s="638">
        <v>0</v>
      </c>
      <c r="I32" s="638">
        <v>0</v>
      </c>
      <c r="J32" s="638">
        <v>0</v>
      </c>
    </row>
    <row r="33" spans="2:20" ht="13.8" thickBot="1"/>
    <row r="34" spans="2:20" ht="13.8" thickBot="1">
      <c r="B34" s="1" t="s">
        <v>701</v>
      </c>
      <c r="D34" s="642">
        <f>D12-SUM(D18:D20,D14)</f>
        <v>0</v>
      </c>
      <c r="E34" s="643">
        <f t="shared" ref="E34:J34" si="0">E12-SUM(E18:E20,E14)</f>
        <v>0</v>
      </c>
      <c r="F34" s="643">
        <f t="shared" si="0"/>
        <v>0</v>
      </c>
      <c r="G34" s="643">
        <f t="shared" si="0"/>
        <v>0</v>
      </c>
      <c r="H34" s="643">
        <f t="shared" si="0"/>
        <v>0</v>
      </c>
      <c r="I34" s="643">
        <f t="shared" si="0"/>
        <v>0</v>
      </c>
      <c r="J34" s="644">
        <f t="shared" si="0"/>
        <v>0</v>
      </c>
      <c r="K34" s="639"/>
      <c r="M34" s="649" t="s">
        <v>701</v>
      </c>
      <c r="O34" s="642">
        <f>O12-SUM(O18:O20,O14)</f>
        <v>0</v>
      </c>
      <c r="P34" s="643">
        <f t="shared" ref="P34:S34" si="1">P12-SUM(P18:P20,P14)</f>
        <v>0</v>
      </c>
      <c r="Q34" s="643">
        <f t="shared" si="1"/>
        <v>0</v>
      </c>
      <c r="R34" s="643">
        <f t="shared" si="1"/>
        <v>0</v>
      </c>
      <c r="S34" s="644">
        <f t="shared" si="1"/>
        <v>0</v>
      </c>
      <c r="T34" s="521"/>
    </row>
  </sheetData>
  <printOptions horizontalCentered="1"/>
  <pageMargins left="0.7" right="0.7" top="0.75" bottom="0.75" header="0.3" footer="0.3"/>
  <pageSetup paperSize="3" fitToHeight="0" orientation="landscape" r:id="rId1"/>
  <headerFooter>
    <oddHeader xml:space="preserve">&amp;L2019 ULI Hines Student Competition&amp;R2019-331 &amp;A 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01E63-98E0-44DA-AECF-9EEE833DAE61}">
  <dimension ref="A1:S34"/>
  <sheetViews>
    <sheetView workbookViewId="0">
      <selection activeCell="E4" sqref="E4"/>
    </sheetView>
  </sheetViews>
  <sheetFormatPr defaultRowHeight="14.4"/>
  <cols>
    <col min="1" max="1" width="26.109375" style="542" customWidth="1"/>
    <col min="2" max="2" width="2.77734375" style="542" customWidth="1"/>
    <col min="3" max="3" width="2.44140625" style="542" customWidth="1"/>
    <col min="4" max="4" width="19" style="542" bestFit="1" customWidth="1"/>
    <col min="5" max="9" width="8.88671875" style="542"/>
    <col min="10" max="10" width="10.33203125" style="542" bestFit="1" customWidth="1"/>
    <col min="11" max="11" width="10.109375" style="542" bestFit="1" customWidth="1"/>
    <col min="12" max="12" width="15.6640625" style="542" bestFit="1" customWidth="1"/>
    <col min="13" max="13" width="12" style="542" bestFit="1" customWidth="1"/>
    <col min="14" max="18" width="8.88671875" style="542"/>
    <col min="19" max="19" width="15.6640625" style="542" bestFit="1" customWidth="1"/>
    <col min="20" max="16384" width="8.88671875" style="542"/>
  </cols>
  <sheetData>
    <row r="1" spans="1:19">
      <c r="A1" s="542" t="s">
        <v>827</v>
      </c>
      <c r="E1" s="766" t="s">
        <v>20</v>
      </c>
      <c r="F1" s="766"/>
      <c r="G1" s="766"/>
      <c r="H1" s="766"/>
      <c r="I1" s="766"/>
      <c r="J1" s="766"/>
      <c r="K1" s="766"/>
      <c r="L1" s="766"/>
      <c r="N1" s="766" t="s">
        <v>445</v>
      </c>
      <c r="O1" s="766"/>
      <c r="P1" s="766"/>
      <c r="Q1" s="766"/>
      <c r="R1" s="766"/>
      <c r="S1" s="766"/>
    </row>
    <row r="2" spans="1:19">
      <c r="A2" s="542" t="s">
        <v>828</v>
      </c>
      <c r="D2" s="542" t="s">
        <v>829</v>
      </c>
      <c r="E2" s="542" t="s">
        <v>830</v>
      </c>
      <c r="F2" s="542" t="s">
        <v>831</v>
      </c>
      <c r="G2" s="542" t="s">
        <v>832</v>
      </c>
      <c r="H2" s="542" t="s">
        <v>833</v>
      </c>
      <c r="I2" s="542" t="s">
        <v>834</v>
      </c>
      <c r="J2" s="542" t="s">
        <v>835</v>
      </c>
      <c r="K2" s="542" t="s">
        <v>836</v>
      </c>
      <c r="L2" s="542" t="s">
        <v>837</v>
      </c>
      <c r="N2" s="542" t="s">
        <v>830</v>
      </c>
      <c r="O2" s="542" t="s">
        <v>831</v>
      </c>
      <c r="P2" s="542" t="s">
        <v>832</v>
      </c>
      <c r="Q2" s="542" t="s">
        <v>838</v>
      </c>
      <c r="R2" s="542" t="s">
        <v>839</v>
      </c>
      <c r="S2" s="542" t="s">
        <v>837</v>
      </c>
    </row>
    <row r="3" spans="1:19">
      <c r="A3" s="542" t="s">
        <v>840</v>
      </c>
    </row>
    <row r="4" spans="1:19">
      <c r="D4" s="542">
        <f>D3+1</f>
        <v>1</v>
      </c>
      <c r="E4" s="543">
        <v>22450</v>
      </c>
      <c r="F4" s="543">
        <v>23917</v>
      </c>
      <c r="G4" s="543">
        <v>18235</v>
      </c>
      <c r="H4" s="543">
        <v>16290</v>
      </c>
      <c r="I4" s="543">
        <v>13422</v>
      </c>
      <c r="J4" s="543">
        <v>44261</v>
      </c>
      <c r="K4" s="543">
        <v>17532</v>
      </c>
      <c r="L4" s="543">
        <v>30090</v>
      </c>
      <c r="N4" s="543">
        <v>54048</v>
      </c>
      <c r="O4" s="543">
        <v>22978</v>
      </c>
      <c r="P4" s="543">
        <v>25929</v>
      </c>
      <c r="Q4" s="543">
        <v>63537</v>
      </c>
      <c r="R4" s="543">
        <v>42605</v>
      </c>
      <c r="S4" s="543">
        <v>18464</v>
      </c>
    </row>
    <row r="5" spans="1:19">
      <c r="A5" s="542" t="s">
        <v>841</v>
      </c>
      <c r="D5" s="542">
        <f t="shared" ref="D5:D28" si="0">D4+1</f>
        <v>2</v>
      </c>
      <c r="E5" s="543">
        <v>22450</v>
      </c>
      <c r="F5" s="543">
        <v>23917</v>
      </c>
      <c r="G5" s="543">
        <v>18235</v>
      </c>
      <c r="H5" s="543">
        <v>16290</v>
      </c>
      <c r="I5" s="543">
        <v>13422</v>
      </c>
      <c r="J5" s="543">
        <v>32450</v>
      </c>
      <c r="K5" s="543">
        <v>15686</v>
      </c>
      <c r="L5" s="543">
        <v>15960</v>
      </c>
      <c r="N5" s="543">
        <v>55628</v>
      </c>
      <c r="O5" s="543">
        <v>22545</v>
      </c>
      <c r="P5" s="543">
        <v>25252</v>
      </c>
      <c r="Q5" s="543">
        <v>63537</v>
      </c>
      <c r="R5" s="543">
        <v>41986</v>
      </c>
      <c r="S5" s="543">
        <v>30891</v>
      </c>
    </row>
    <row r="6" spans="1:19">
      <c r="A6" s="544" t="s">
        <v>842</v>
      </c>
      <c r="D6" s="542">
        <f t="shared" si="0"/>
        <v>3</v>
      </c>
      <c r="E6" s="543">
        <v>21592</v>
      </c>
      <c r="F6" s="543">
        <v>23917</v>
      </c>
      <c r="G6" s="543">
        <v>18235</v>
      </c>
      <c r="H6" s="543">
        <v>16290</v>
      </c>
      <c r="I6" s="543">
        <v>13422</v>
      </c>
      <c r="J6" s="543">
        <v>32450</v>
      </c>
      <c r="K6" s="543">
        <v>31891</v>
      </c>
      <c r="L6" s="543">
        <v>18065</v>
      </c>
      <c r="N6" s="543">
        <v>55595</v>
      </c>
      <c r="O6" s="543">
        <v>18017</v>
      </c>
      <c r="P6" s="543">
        <v>21610</v>
      </c>
      <c r="Q6" s="543">
        <v>29175</v>
      </c>
      <c r="R6" s="543">
        <v>34386</v>
      </c>
      <c r="S6" s="543">
        <v>14950</v>
      </c>
    </row>
    <row r="7" spans="1:19">
      <c r="A7" s="544" t="s">
        <v>843</v>
      </c>
      <c r="D7" s="542">
        <f t="shared" si="0"/>
        <v>4</v>
      </c>
      <c r="E7" s="543">
        <v>20902</v>
      </c>
      <c r="F7" s="543">
        <v>23917</v>
      </c>
      <c r="G7" s="543">
        <v>18235</v>
      </c>
      <c r="H7" s="543">
        <v>16290</v>
      </c>
      <c r="I7" s="543">
        <v>13422</v>
      </c>
      <c r="J7" s="543"/>
      <c r="L7" s="543">
        <v>48060</v>
      </c>
      <c r="N7" s="543">
        <v>55595</v>
      </c>
      <c r="O7" s="543">
        <v>17943</v>
      </c>
      <c r="P7" s="543">
        <v>21876</v>
      </c>
      <c r="Q7" s="543">
        <v>29175</v>
      </c>
      <c r="R7" s="543">
        <v>34265</v>
      </c>
      <c r="S7" s="543">
        <v>19818</v>
      </c>
    </row>
    <row r="8" spans="1:19">
      <c r="A8" s="544" t="s">
        <v>844</v>
      </c>
      <c r="D8" s="542">
        <f t="shared" si="0"/>
        <v>5</v>
      </c>
      <c r="E8" s="543">
        <v>20428</v>
      </c>
      <c r="F8" s="543">
        <v>23917</v>
      </c>
      <c r="G8" s="543">
        <v>18235</v>
      </c>
      <c r="H8" s="543">
        <v>16290</v>
      </c>
      <c r="I8" s="543">
        <v>13422</v>
      </c>
      <c r="J8" s="543"/>
      <c r="N8" s="543">
        <v>55595</v>
      </c>
      <c r="O8" s="543">
        <v>17943</v>
      </c>
      <c r="P8" s="543">
        <v>20885</v>
      </c>
      <c r="Q8" s="543">
        <v>29175</v>
      </c>
      <c r="R8" s="543">
        <v>34386</v>
      </c>
    </row>
    <row r="9" spans="1:19">
      <c r="A9" s="542" t="s">
        <v>845</v>
      </c>
      <c r="D9" s="542">
        <f t="shared" si="0"/>
        <v>6</v>
      </c>
      <c r="E9" s="543">
        <v>20121</v>
      </c>
      <c r="F9" s="543">
        <v>23917</v>
      </c>
      <c r="G9" s="543">
        <v>18235</v>
      </c>
      <c r="H9" s="543">
        <v>16290</v>
      </c>
      <c r="I9" s="543">
        <v>13422</v>
      </c>
      <c r="J9" s="543"/>
      <c r="N9" s="543">
        <v>28762</v>
      </c>
      <c r="O9" s="543">
        <v>17943</v>
      </c>
      <c r="P9" s="543">
        <v>13883</v>
      </c>
      <c r="Q9" s="543">
        <v>29175</v>
      </c>
      <c r="R9" s="543">
        <v>28600</v>
      </c>
    </row>
    <row r="10" spans="1:19">
      <c r="A10" s="542" t="s">
        <v>846</v>
      </c>
      <c r="D10" s="542">
        <f t="shared" si="0"/>
        <v>7</v>
      </c>
      <c r="E10" s="543">
        <v>20121</v>
      </c>
      <c r="H10" s="543">
        <v>31036</v>
      </c>
      <c r="I10" s="543">
        <v>9466</v>
      </c>
      <c r="J10" s="543"/>
      <c r="N10" s="543">
        <v>19611</v>
      </c>
      <c r="O10" s="543">
        <v>17943</v>
      </c>
      <c r="P10" s="543">
        <v>12401</v>
      </c>
      <c r="Q10" s="543">
        <v>29175</v>
      </c>
      <c r="R10" s="543">
        <v>28468</v>
      </c>
    </row>
    <row r="11" spans="1:19">
      <c r="A11" s="545" t="s">
        <v>847</v>
      </c>
      <c r="D11" s="542">
        <f t="shared" si="0"/>
        <v>8</v>
      </c>
      <c r="E11" s="543">
        <v>20121</v>
      </c>
      <c r="H11" s="543">
        <v>16290</v>
      </c>
      <c r="I11" s="543">
        <v>9159</v>
      </c>
      <c r="J11" s="543"/>
      <c r="N11" s="543">
        <v>19611</v>
      </c>
      <c r="O11" s="543">
        <v>15458</v>
      </c>
      <c r="P11" s="543">
        <v>11745</v>
      </c>
      <c r="Q11" s="543">
        <v>29175</v>
      </c>
    </row>
    <row r="12" spans="1:19">
      <c r="A12" s="542" t="s">
        <v>848</v>
      </c>
      <c r="D12" s="542">
        <f t="shared" si="0"/>
        <v>9</v>
      </c>
      <c r="E12" s="543">
        <v>20121</v>
      </c>
      <c r="H12" s="543">
        <v>16290</v>
      </c>
      <c r="I12" s="543">
        <v>8971</v>
      </c>
      <c r="J12" s="543"/>
      <c r="N12" s="543">
        <v>19611</v>
      </c>
      <c r="O12" s="543">
        <v>15458</v>
      </c>
      <c r="P12" s="543">
        <v>10073</v>
      </c>
      <c r="Q12" s="543">
        <v>19917</v>
      </c>
    </row>
    <row r="13" spans="1:19">
      <c r="A13" s="542" t="s">
        <v>849</v>
      </c>
      <c r="D13" s="542">
        <f t="shared" si="0"/>
        <v>10</v>
      </c>
      <c r="E13" s="543">
        <v>20121</v>
      </c>
      <c r="H13" s="543">
        <v>16290</v>
      </c>
      <c r="I13" s="543">
        <v>8940</v>
      </c>
      <c r="J13" s="543"/>
      <c r="N13" s="543">
        <v>16416</v>
      </c>
      <c r="O13" s="543">
        <v>15458</v>
      </c>
      <c r="Q13" s="543">
        <v>19917</v>
      </c>
    </row>
    <row r="14" spans="1:19">
      <c r="D14" s="542">
        <f t="shared" si="0"/>
        <v>11</v>
      </c>
      <c r="E14" s="543">
        <v>20121</v>
      </c>
      <c r="H14" s="543">
        <v>7080</v>
      </c>
      <c r="I14" s="543">
        <v>8903</v>
      </c>
      <c r="J14" s="543"/>
      <c r="N14" s="543">
        <v>16416</v>
      </c>
      <c r="Q14" s="543">
        <v>19917</v>
      </c>
    </row>
    <row r="15" spans="1:19">
      <c r="A15" s="542" t="s">
        <v>850</v>
      </c>
      <c r="D15" s="542">
        <f t="shared" si="0"/>
        <v>12</v>
      </c>
      <c r="E15" s="543">
        <v>20121</v>
      </c>
      <c r="H15" s="543">
        <v>7292</v>
      </c>
      <c r="I15" s="543">
        <v>8903</v>
      </c>
      <c r="J15" s="543"/>
      <c r="N15" s="543">
        <v>16416</v>
      </c>
      <c r="Q15" s="543">
        <v>19917</v>
      </c>
    </row>
    <row r="16" spans="1:19">
      <c r="A16" s="544" t="s">
        <v>851</v>
      </c>
      <c r="D16" s="542">
        <f t="shared" si="0"/>
        <v>13</v>
      </c>
      <c r="E16" s="543">
        <v>20121</v>
      </c>
      <c r="H16" s="543">
        <v>6966</v>
      </c>
      <c r="N16" s="543">
        <v>16416</v>
      </c>
      <c r="Q16" s="543">
        <v>19917</v>
      </c>
    </row>
    <row r="17" spans="1:19">
      <c r="A17" s="544" t="s">
        <v>852</v>
      </c>
      <c r="D17" s="542">
        <f t="shared" si="0"/>
        <v>14</v>
      </c>
      <c r="E17" s="543">
        <v>20121</v>
      </c>
      <c r="H17" s="543">
        <v>7164</v>
      </c>
      <c r="N17" s="543">
        <v>19611</v>
      </c>
      <c r="Q17" s="543">
        <v>19917</v>
      </c>
    </row>
    <row r="18" spans="1:19">
      <c r="A18" s="544" t="s">
        <v>853</v>
      </c>
      <c r="D18" s="542">
        <f t="shared" si="0"/>
        <v>15</v>
      </c>
      <c r="H18" s="543">
        <v>6974</v>
      </c>
      <c r="N18" s="543">
        <v>19611</v>
      </c>
      <c r="Q18" s="543">
        <v>19917</v>
      </c>
    </row>
    <row r="19" spans="1:19">
      <c r="A19" s="544" t="s">
        <v>854</v>
      </c>
      <c r="D19" s="542">
        <f t="shared" si="0"/>
        <v>16</v>
      </c>
      <c r="H19" s="543">
        <v>7179</v>
      </c>
      <c r="N19" s="543">
        <v>19611</v>
      </c>
      <c r="Q19" s="543">
        <v>19917</v>
      </c>
    </row>
    <row r="20" spans="1:19">
      <c r="D20" s="542">
        <f t="shared" si="0"/>
        <v>17</v>
      </c>
      <c r="N20" s="543">
        <v>19611</v>
      </c>
      <c r="Q20" s="543">
        <v>19917</v>
      </c>
    </row>
    <row r="21" spans="1:19">
      <c r="A21" s="542" t="s">
        <v>855</v>
      </c>
      <c r="D21" s="542">
        <f t="shared" si="0"/>
        <v>18</v>
      </c>
      <c r="N21" s="543">
        <v>19611</v>
      </c>
      <c r="Q21" s="543">
        <v>19917</v>
      </c>
    </row>
    <row r="22" spans="1:19">
      <c r="A22" s="544" t="s">
        <v>856</v>
      </c>
      <c r="D22" s="542">
        <f t="shared" si="0"/>
        <v>19</v>
      </c>
      <c r="Q22" s="543">
        <v>19917</v>
      </c>
    </row>
    <row r="23" spans="1:19">
      <c r="A23" s="544" t="s">
        <v>857</v>
      </c>
      <c r="D23" s="542">
        <f t="shared" si="0"/>
        <v>20</v>
      </c>
      <c r="Q23" s="543">
        <v>19917</v>
      </c>
    </row>
    <row r="24" spans="1:19">
      <c r="A24" s="544" t="s">
        <v>671</v>
      </c>
      <c r="D24" s="542">
        <f t="shared" si="0"/>
        <v>21</v>
      </c>
      <c r="Q24" s="543">
        <v>19917</v>
      </c>
    </row>
    <row r="25" spans="1:19">
      <c r="A25" s="544" t="s">
        <v>858</v>
      </c>
      <c r="D25" s="542">
        <f t="shared" si="0"/>
        <v>22</v>
      </c>
      <c r="Q25" s="543">
        <v>19917</v>
      </c>
    </row>
    <row r="26" spans="1:19">
      <c r="A26" s="544" t="s">
        <v>859</v>
      </c>
      <c r="D26" s="542">
        <f t="shared" si="0"/>
        <v>23</v>
      </c>
      <c r="Q26" s="543">
        <v>19917</v>
      </c>
    </row>
    <row r="27" spans="1:19">
      <c r="D27" s="542">
        <f t="shared" si="0"/>
        <v>24</v>
      </c>
      <c r="Q27" s="543">
        <v>19917</v>
      </c>
    </row>
    <row r="28" spans="1:19">
      <c r="A28" s="542" t="s">
        <v>788</v>
      </c>
      <c r="D28" s="542">
        <f t="shared" si="0"/>
        <v>25</v>
      </c>
    </row>
    <row r="29" spans="1:19">
      <c r="A29" s="542" t="s">
        <v>784</v>
      </c>
      <c r="D29" s="542" t="s">
        <v>738</v>
      </c>
      <c r="E29" s="543">
        <f t="shared" ref="E29:L29" si="1">SUM(E4:E28)</f>
        <v>288911</v>
      </c>
      <c r="F29" s="543">
        <f t="shared" si="1"/>
        <v>143502</v>
      </c>
      <c r="G29" s="543">
        <f t="shared" si="1"/>
        <v>109410</v>
      </c>
      <c r="H29" s="543">
        <f t="shared" si="1"/>
        <v>220301</v>
      </c>
      <c r="I29" s="543">
        <f t="shared" si="1"/>
        <v>134874</v>
      </c>
      <c r="J29" s="543">
        <f t="shared" si="1"/>
        <v>109161</v>
      </c>
      <c r="K29" s="543">
        <f t="shared" si="1"/>
        <v>65109</v>
      </c>
      <c r="L29" s="543">
        <f t="shared" si="1"/>
        <v>112175</v>
      </c>
      <c r="M29" s="543"/>
      <c r="N29" s="543">
        <f t="shared" ref="N29:S29" si="2">SUM(N4:N28)</f>
        <v>527775</v>
      </c>
      <c r="O29" s="543">
        <f t="shared" si="2"/>
        <v>181686</v>
      </c>
      <c r="P29" s="543">
        <f t="shared" si="2"/>
        <v>163654</v>
      </c>
      <c r="Q29" s="543">
        <f t="shared" si="2"/>
        <v>620796</v>
      </c>
      <c r="R29" s="543">
        <f t="shared" si="2"/>
        <v>244696</v>
      </c>
      <c r="S29" s="543">
        <f t="shared" si="2"/>
        <v>84123</v>
      </c>
    </row>
    <row r="30" spans="1:19">
      <c r="A30" s="542" t="s">
        <v>860</v>
      </c>
    </row>
    <row r="31" spans="1:19" ht="15" thickBot="1"/>
    <row r="32" spans="1:19" ht="15" thickBot="1">
      <c r="D32" s="546" t="s">
        <v>542</v>
      </c>
      <c r="E32" s="547">
        <f>SUM(E29:L29)</f>
        <v>1183443</v>
      </c>
      <c r="M32" s="546" t="s">
        <v>861</v>
      </c>
      <c r="N32" s="547">
        <f>SUM(N29:S29)</f>
        <v>1822730</v>
      </c>
    </row>
    <row r="33" spans="4:10" ht="15" thickBot="1">
      <c r="H33" s="543">
        <f>SUM(H29:I29)</f>
        <v>355175</v>
      </c>
      <c r="J33" s="543">
        <f>SUM(J29:K29)</f>
        <v>174270</v>
      </c>
    </row>
    <row r="34" spans="4:10" ht="15" thickBot="1">
      <c r="D34" s="546" t="s">
        <v>862</v>
      </c>
      <c r="E34" s="547">
        <f>E32+N32</f>
        <v>3006173</v>
      </c>
    </row>
  </sheetData>
  <mergeCells count="2">
    <mergeCell ref="E1:L1"/>
    <mergeCell ref="N1:S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C6CC7-B7EE-4F59-819E-FC699B149150}">
  <sheetPr>
    <tabColor rgb="FF92D050"/>
    <pageSetUpPr fitToPage="1"/>
  </sheetPr>
  <dimension ref="A1:P68"/>
  <sheetViews>
    <sheetView showGridLines="0" view="pageBreakPreview" zoomScale="80" zoomScaleNormal="100" zoomScaleSheetLayoutView="80" workbookViewId="0"/>
  </sheetViews>
  <sheetFormatPr defaultRowHeight="13.2"/>
  <cols>
    <col min="1" max="1" width="1.77734375" style="1" customWidth="1"/>
    <col min="2" max="2" width="38.109375" style="1" bestFit="1" customWidth="1"/>
    <col min="3" max="3" width="14.44140625" style="56" bestFit="1" customWidth="1"/>
    <col min="4" max="4" width="23" style="56" bestFit="1" customWidth="1"/>
    <col min="5" max="5" width="14.33203125" style="56" bestFit="1" customWidth="1"/>
    <col min="6" max="7" width="14.44140625" style="56" bestFit="1" customWidth="1"/>
    <col min="8" max="8" width="18.5546875" style="56" bestFit="1" customWidth="1"/>
    <col min="9" max="9" width="14.44140625" style="56" bestFit="1" customWidth="1"/>
    <col min="10" max="11" width="8.88671875" style="1"/>
    <col min="12" max="12" width="15.33203125" style="1" customWidth="1"/>
    <col min="13" max="13" width="2.5546875" style="1" customWidth="1"/>
    <col min="14" max="15" width="8.88671875" style="1"/>
    <col min="16" max="16" width="14.6640625" style="1" customWidth="1"/>
    <col min="17" max="19" width="8.88671875" style="1"/>
    <col min="20" max="20" width="15.21875" style="1" customWidth="1"/>
    <col min="21" max="16384" width="8.88671875" style="1"/>
  </cols>
  <sheetData>
    <row r="1" spans="1:16">
      <c r="A1" s="95"/>
      <c r="B1" s="460"/>
      <c r="C1" s="592"/>
      <c r="D1" s="592"/>
      <c r="E1" s="592"/>
      <c r="F1" s="592"/>
      <c r="G1" s="592"/>
      <c r="H1" s="592"/>
      <c r="I1" s="592"/>
      <c r="J1" s="95"/>
      <c r="K1" s="95"/>
      <c r="L1" s="95"/>
      <c r="M1" s="95"/>
      <c r="N1" s="95"/>
      <c r="O1" s="95"/>
      <c r="P1" s="95"/>
    </row>
    <row r="2" spans="1:16">
      <c r="A2" s="95"/>
      <c r="B2" s="460"/>
      <c r="C2" s="592"/>
      <c r="D2" s="592"/>
      <c r="E2" s="592"/>
      <c r="F2" s="592"/>
      <c r="G2" s="592"/>
      <c r="H2" s="592"/>
      <c r="I2" s="592"/>
      <c r="J2" s="95"/>
      <c r="K2" s="95"/>
      <c r="L2" s="95"/>
      <c r="M2" s="95"/>
      <c r="N2" s="95"/>
      <c r="O2" s="95"/>
      <c r="P2" s="95"/>
    </row>
    <row r="3" spans="1:16">
      <c r="A3" s="95"/>
      <c r="B3" s="460"/>
      <c r="C3" s="592"/>
      <c r="D3" s="592"/>
      <c r="E3" s="592"/>
      <c r="F3" s="592"/>
      <c r="G3" s="592"/>
      <c r="H3" s="592"/>
      <c r="I3" s="592"/>
      <c r="J3" s="95"/>
      <c r="K3" s="95"/>
      <c r="L3" s="95"/>
      <c r="M3" s="95"/>
      <c r="N3" s="95"/>
      <c r="O3" s="95"/>
      <c r="P3" s="95"/>
    </row>
    <row r="4" spans="1:16">
      <c r="A4" s="95"/>
      <c r="B4" s="460"/>
      <c r="C4" s="592"/>
      <c r="D4" s="592"/>
      <c r="E4" s="592"/>
      <c r="F4" s="592"/>
      <c r="G4" s="592"/>
      <c r="H4" s="592"/>
      <c r="I4" s="592"/>
      <c r="J4" s="95"/>
      <c r="K4" s="95"/>
      <c r="L4" s="95"/>
      <c r="M4" s="95"/>
      <c r="N4" s="95"/>
      <c r="O4" s="95"/>
      <c r="P4" s="95"/>
    </row>
    <row r="5" spans="1:16">
      <c r="A5" s="95"/>
      <c r="B5" s="460"/>
      <c r="C5" s="592"/>
      <c r="D5" s="592"/>
      <c r="E5" s="592"/>
      <c r="F5" s="592"/>
      <c r="G5" s="592"/>
      <c r="H5" s="592"/>
      <c r="I5" s="592"/>
      <c r="J5" s="95"/>
      <c r="K5" s="95"/>
      <c r="L5" s="95"/>
      <c r="M5" s="95"/>
      <c r="N5" s="95"/>
      <c r="O5" s="95"/>
      <c r="P5" s="95"/>
    </row>
    <row r="6" spans="1:16">
      <c r="A6" s="95"/>
      <c r="B6" s="460"/>
      <c r="C6" s="592"/>
      <c r="D6" s="592"/>
      <c r="E6" s="592"/>
      <c r="F6" s="592"/>
      <c r="G6" s="592"/>
      <c r="H6" s="592"/>
      <c r="I6" s="592"/>
      <c r="J6" s="95"/>
      <c r="K6" s="95"/>
      <c r="L6" s="95"/>
      <c r="M6" s="95"/>
      <c r="N6" s="95"/>
      <c r="O6" s="95"/>
      <c r="P6" s="95"/>
    </row>
    <row r="7" spans="1:16">
      <c r="A7" s="95"/>
      <c r="B7" s="460"/>
      <c r="C7" s="592"/>
      <c r="D7" s="592"/>
      <c r="E7" s="592"/>
      <c r="F7" s="592"/>
      <c r="G7" s="592"/>
      <c r="H7" s="592"/>
      <c r="I7" s="592"/>
      <c r="J7" s="95"/>
      <c r="K7" s="95"/>
      <c r="L7" s="95"/>
      <c r="M7" s="95"/>
      <c r="N7" s="95"/>
      <c r="O7" s="95"/>
      <c r="P7" s="95"/>
    </row>
    <row r="8" spans="1:16">
      <c r="A8" s="95"/>
      <c r="B8" s="410" t="s">
        <v>762</v>
      </c>
      <c r="C8" s="285"/>
      <c r="D8" s="592"/>
      <c r="E8" s="592"/>
      <c r="F8" s="592"/>
      <c r="G8" s="592"/>
      <c r="H8" s="592"/>
      <c r="I8" s="592"/>
      <c r="J8" s="95"/>
      <c r="K8" s="95"/>
      <c r="L8" s="95"/>
      <c r="M8" s="95"/>
      <c r="N8" s="95"/>
      <c r="O8" s="95"/>
      <c r="P8" s="95"/>
    </row>
    <row r="9" spans="1:16">
      <c r="A9" s="95"/>
      <c r="B9" s="460"/>
      <c r="C9" s="592"/>
      <c r="D9" s="592"/>
      <c r="E9" s="592"/>
      <c r="F9" s="592"/>
      <c r="G9" s="592"/>
      <c r="H9" s="592"/>
      <c r="I9" s="592"/>
      <c r="J9" s="95"/>
      <c r="K9" s="95"/>
      <c r="L9" s="95"/>
      <c r="M9" s="95"/>
      <c r="N9" s="95"/>
      <c r="O9" s="95"/>
      <c r="P9" s="95"/>
    </row>
    <row r="10" spans="1:16">
      <c r="A10" s="95"/>
      <c r="B10" s="461" t="s">
        <v>729</v>
      </c>
      <c r="C10" s="593"/>
      <c r="D10" s="593"/>
      <c r="E10" s="593"/>
      <c r="F10" s="593"/>
      <c r="G10" s="593"/>
      <c r="H10" s="593"/>
      <c r="I10" s="593"/>
      <c r="J10" s="95"/>
      <c r="K10" s="95"/>
      <c r="L10" s="95"/>
      <c r="M10" s="95"/>
      <c r="N10" s="95"/>
      <c r="O10" s="95"/>
      <c r="P10" s="95"/>
    </row>
    <row r="11" spans="1:16">
      <c r="A11" s="95"/>
      <c r="B11" s="462"/>
      <c r="C11" s="594" t="s">
        <v>732</v>
      </c>
      <c r="D11" s="602" t="s">
        <v>20</v>
      </c>
      <c r="E11" s="603" t="s">
        <v>445</v>
      </c>
      <c r="F11" s="602" t="s">
        <v>740</v>
      </c>
      <c r="G11" s="603" t="s">
        <v>741</v>
      </c>
      <c r="H11" s="594" t="s">
        <v>738</v>
      </c>
      <c r="I11" s="594" t="s">
        <v>739</v>
      </c>
      <c r="J11" s="95"/>
      <c r="K11" s="95"/>
      <c r="L11" s="95"/>
      <c r="M11" s="95"/>
      <c r="N11" s="95"/>
      <c r="O11" s="95"/>
      <c r="P11" s="95"/>
    </row>
    <row r="12" spans="1:16">
      <c r="A12" s="95"/>
      <c r="B12" s="462" t="s">
        <v>731</v>
      </c>
      <c r="C12" s="594"/>
      <c r="D12" s="594"/>
      <c r="E12" s="594"/>
      <c r="F12" s="592"/>
      <c r="G12" s="592"/>
      <c r="H12" s="594"/>
      <c r="I12" s="592"/>
      <c r="J12" s="95"/>
      <c r="K12" s="95"/>
      <c r="L12" s="95"/>
      <c r="M12" s="95"/>
      <c r="N12" s="95"/>
      <c r="O12" s="95"/>
      <c r="P12" s="95"/>
    </row>
    <row r="13" spans="1:16">
      <c r="A13" s="95"/>
      <c r="B13" s="463" t="s">
        <v>742</v>
      </c>
      <c r="C13" s="687">
        <v>50</v>
      </c>
      <c r="D13" s="716">
        <f t="array" ref="D13:D17">TRANSPOSE('Building Source Data v02'!S3:W3)</f>
        <v>23157</v>
      </c>
      <c r="E13" s="605"/>
      <c r="F13" s="595">
        <f>$C13*D13</f>
        <v>1157850</v>
      </c>
      <c r="G13" s="595">
        <f>$C13*E13</f>
        <v>0</v>
      </c>
      <c r="H13" s="606">
        <f>SUM(D13:E13)</f>
        <v>23157</v>
      </c>
      <c r="I13" s="595">
        <f>SUM(F13:G13)</f>
        <v>1157850</v>
      </c>
      <c r="J13" s="95"/>
      <c r="K13" s="95"/>
      <c r="L13" s="95"/>
      <c r="M13" s="95"/>
      <c r="N13" s="95"/>
      <c r="O13" s="95"/>
      <c r="P13" s="95"/>
    </row>
    <row r="14" spans="1:16">
      <c r="A14" s="95"/>
      <c r="B14" s="463" t="s">
        <v>733</v>
      </c>
      <c r="C14" s="687">
        <v>50</v>
      </c>
      <c r="D14" s="716">
        <v>9410</v>
      </c>
      <c r="E14" s="605"/>
      <c r="F14" s="595">
        <f t="shared" ref="F14:F19" si="0">$C14*D14</f>
        <v>470500</v>
      </c>
      <c r="G14" s="595">
        <f t="shared" ref="G14:G18" si="1">$C14*E14</f>
        <v>0</v>
      </c>
      <c r="H14" s="606">
        <f t="shared" ref="H14:H18" si="2">SUM(D14:E14)</f>
        <v>9410</v>
      </c>
      <c r="I14" s="595">
        <f t="shared" ref="I14:I18" si="3">SUM(F14:G14)</f>
        <v>470500</v>
      </c>
      <c r="J14" s="95"/>
      <c r="K14" s="95"/>
      <c r="L14" s="95"/>
      <c r="M14" s="95"/>
      <c r="N14" s="95"/>
      <c r="O14" s="95"/>
      <c r="P14" s="95"/>
    </row>
    <row r="15" spans="1:16">
      <c r="A15" s="95"/>
      <c r="B15" s="463" t="s">
        <v>734</v>
      </c>
      <c r="C15" s="687">
        <v>50</v>
      </c>
      <c r="D15" s="716">
        <v>16294</v>
      </c>
      <c r="E15" s="605"/>
      <c r="F15" s="595">
        <f t="shared" si="0"/>
        <v>814700</v>
      </c>
      <c r="G15" s="595">
        <f t="shared" si="1"/>
        <v>0</v>
      </c>
      <c r="H15" s="606">
        <f t="shared" si="2"/>
        <v>16294</v>
      </c>
      <c r="I15" s="595">
        <f t="shared" si="3"/>
        <v>814700</v>
      </c>
      <c r="J15" s="95"/>
      <c r="K15" s="95"/>
      <c r="L15" s="95"/>
      <c r="M15" s="95"/>
      <c r="N15" s="95"/>
      <c r="O15" s="95"/>
      <c r="P15" s="95"/>
    </row>
    <row r="16" spans="1:16">
      <c r="A16" s="95"/>
      <c r="B16" s="463" t="s">
        <v>735</v>
      </c>
      <c r="C16" s="687">
        <v>60</v>
      </c>
      <c r="D16" s="716">
        <v>48426</v>
      </c>
      <c r="E16" s="605"/>
      <c r="F16" s="595">
        <f t="shared" si="0"/>
        <v>2905560</v>
      </c>
      <c r="G16" s="595">
        <f t="shared" si="1"/>
        <v>0</v>
      </c>
      <c r="H16" s="606">
        <f t="shared" si="2"/>
        <v>48426</v>
      </c>
      <c r="I16" s="595">
        <f t="shared" si="3"/>
        <v>2905560</v>
      </c>
      <c r="J16" s="95"/>
      <c r="K16" s="95"/>
      <c r="L16" s="95"/>
      <c r="M16" s="95"/>
      <c r="N16" s="95"/>
      <c r="O16" s="95"/>
      <c r="P16" s="95"/>
    </row>
    <row r="17" spans="1:16">
      <c r="A17" s="95"/>
      <c r="B17" s="463" t="s">
        <v>736</v>
      </c>
      <c r="C17" s="687">
        <v>50</v>
      </c>
      <c r="D17" s="716">
        <v>25914</v>
      </c>
      <c r="E17" s="686"/>
      <c r="F17" s="595">
        <f t="shared" si="0"/>
        <v>1295700</v>
      </c>
      <c r="G17" s="595">
        <f t="shared" si="1"/>
        <v>0</v>
      </c>
      <c r="H17" s="606">
        <f t="shared" si="2"/>
        <v>25914</v>
      </c>
      <c r="I17" s="595">
        <f t="shared" si="3"/>
        <v>1295700</v>
      </c>
      <c r="J17" s="95"/>
      <c r="K17" s="95"/>
      <c r="L17" s="95"/>
      <c r="M17" s="95"/>
      <c r="N17" s="95"/>
      <c r="O17" s="95"/>
      <c r="P17" s="95"/>
    </row>
    <row r="18" spans="1:16">
      <c r="A18" s="95"/>
      <c r="B18" s="463" t="s">
        <v>737</v>
      </c>
      <c r="C18" s="687">
        <v>50</v>
      </c>
      <c r="D18" s="685"/>
      <c r="E18" s="610">
        <f t="array" ref="E18:E19">TRANSPOSE('Building Source Data v02'!X3:Y3)</f>
        <v>16451</v>
      </c>
      <c r="F18" s="595">
        <f t="shared" si="0"/>
        <v>0</v>
      </c>
      <c r="G18" s="595">
        <f t="shared" si="1"/>
        <v>822550</v>
      </c>
      <c r="H18" s="606">
        <f t="shared" si="2"/>
        <v>16451</v>
      </c>
      <c r="I18" s="595">
        <f t="shared" si="3"/>
        <v>822550</v>
      </c>
      <c r="J18" s="95"/>
      <c r="K18" s="95"/>
      <c r="L18" s="95"/>
      <c r="M18" s="95"/>
      <c r="N18" s="95"/>
      <c r="O18" s="95"/>
      <c r="P18" s="95"/>
    </row>
    <row r="19" spans="1:16">
      <c r="A19" s="95"/>
      <c r="B19" s="463" t="s">
        <v>744</v>
      </c>
      <c r="C19" s="687">
        <v>50</v>
      </c>
      <c r="D19" s="685"/>
      <c r="E19" s="610">
        <v>31330</v>
      </c>
      <c r="F19" s="595">
        <f t="shared" si="0"/>
        <v>0</v>
      </c>
      <c r="G19" s="595">
        <f t="shared" ref="G19" si="4">$C19*E19</f>
        <v>1566500</v>
      </c>
      <c r="H19" s="606">
        <f t="shared" ref="H19" si="5">SUM(D19:E19)</f>
        <v>31330</v>
      </c>
      <c r="I19" s="595">
        <f t="shared" ref="I19" si="6">SUM(F19:G19)</f>
        <v>1566500</v>
      </c>
      <c r="J19" s="95"/>
      <c r="K19" s="95"/>
      <c r="L19" s="95"/>
      <c r="M19" s="95"/>
      <c r="N19" s="95"/>
      <c r="O19" s="95"/>
      <c r="P19" s="95"/>
    </row>
    <row r="20" spans="1:16">
      <c r="A20" s="95"/>
      <c r="B20" s="463"/>
      <c r="C20" s="604"/>
      <c r="D20" s="605"/>
      <c r="E20" s="605"/>
      <c r="F20" s="595"/>
      <c r="G20" s="595"/>
      <c r="H20" s="606"/>
      <c r="I20" s="595"/>
      <c r="J20" s="95"/>
      <c r="K20" s="95"/>
      <c r="L20" s="95"/>
      <c r="M20" s="95"/>
      <c r="N20" s="95"/>
      <c r="O20" s="95"/>
      <c r="P20" s="95"/>
    </row>
    <row r="21" spans="1:16">
      <c r="A21" s="95"/>
      <c r="B21" s="462" t="s">
        <v>757</v>
      </c>
      <c r="C21" s="687">
        <v>130</v>
      </c>
      <c r="D21" s="688">
        <v>2070</v>
      </c>
      <c r="E21" s="688">
        <v>2375</v>
      </c>
      <c r="F21" s="595">
        <f t="shared" ref="F21:G21" si="7">$C21*D21</f>
        <v>269100</v>
      </c>
      <c r="G21" s="595">
        <f t="shared" si="7"/>
        <v>308750</v>
      </c>
      <c r="H21" s="606">
        <f>SUM(D21:E21)</f>
        <v>4445</v>
      </c>
      <c r="I21" s="595">
        <f t="shared" ref="I21" si="8">SUM(F21:G21)</f>
        <v>577850</v>
      </c>
      <c r="J21" s="95"/>
      <c r="K21" s="95"/>
      <c r="L21" s="95"/>
      <c r="M21" s="95"/>
      <c r="N21" s="95"/>
      <c r="O21" s="95"/>
      <c r="P21" s="95"/>
    </row>
    <row r="22" spans="1:16">
      <c r="A22" s="95"/>
      <c r="B22" s="463"/>
      <c r="C22" s="604"/>
      <c r="D22" s="605"/>
      <c r="E22" s="605"/>
      <c r="F22" s="592"/>
      <c r="G22" s="592"/>
      <c r="H22" s="606"/>
      <c r="I22" s="592"/>
      <c r="J22" s="95"/>
      <c r="K22" s="95"/>
      <c r="L22" s="95"/>
      <c r="M22" s="95"/>
      <c r="N22" s="95"/>
      <c r="O22" s="95"/>
      <c r="P22" s="95"/>
    </row>
    <row r="23" spans="1:16">
      <c r="A23" s="95"/>
      <c r="B23" s="462" t="s">
        <v>746</v>
      </c>
      <c r="C23" s="689">
        <v>200000</v>
      </c>
      <c r="D23" s="690">
        <v>7</v>
      </c>
      <c r="E23" s="690">
        <v>5</v>
      </c>
      <c r="F23" s="595">
        <f t="shared" ref="F23:G23" si="9">$C23*D23</f>
        <v>1400000</v>
      </c>
      <c r="G23" s="595">
        <f t="shared" si="9"/>
        <v>1000000</v>
      </c>
      <c r="H23" s="609">
        <f>SUM(D23:E23)</f>
        <v>12</v>
      </c>
      <c r="I23" s="595">
        <f t="shared" ref="I23" si="10">SUM(F23:G23)</f>
        <v>2400000</v>
      </c>
      <c r="J23" s="95"/>
      <c r="K23" s="95"/>
      <c r="L23" s="95"/>
      <c r="M23" s="95"/>
      <c r="N23" s="95"/>
      <c r="O23" s="95"/>
      <c r="P23" s="95"/>
    </row>
    <row r="24" spans="1:16">
      <c r="A24" s="95"/>
      <c r="B24" s="462"/>
      <c r="C24" s="607"/>
      <c r="D24" s="608"/>
      <c r="E24" s="608"/>
      <c r="F24" s="595"/>
      <c r="G24" s="595"/>
      <c r="H24" s="609"/>
      <c r="I24" s="595"/>
      <c r="J24" s="95"/>
      <c r="K24" s="95"/>
      <c r="L24" s="95"/>
      <c r="M24" s="95"/>
      <c r="N24" s="95"/>
      <c r="O24" s="95"/>
      <c r="P24" s="95"/>
    </row>
    <row r="25" spans="1:16">
      <c r="A25" s="95"/>
      <c r="B25" s="462" t="s">
        <v>49</v>
      </c>
      <c r="C25" s="687">
        <v>10</v>
      </c>
      <c r="D25" s="610">
        <f>SUMIFS(Parcels!$N:$N,Parcels!$L:$L,"Demo",Parcels!$K:$K,D$11)</f>
        <v>92466.4</v>
      </c>
      <c r="E25" s="610">
        <f>SUMIFS(Parcels!$N:$N,Parcels!$L:$L,"Demo",Parcels!$K:$K,E$11)</f>
        <v>97089</v>
      </c>
      <c r="F25" s="595">
        <f>$C25*D25</f>
        <v>924664</v>
      </c>
      <c r="G25" s="595">
        <f>$C25*E25</f>
        <v>970890</v>
      </c>
      <c r="H25" s="606">
        <f>SUM(D25:E25)</f>
        <v>189555.4</v>
      </c>
      <c r="I25" s="595">
        <f t="shared" ref="I25" si="11">SUM(F25:G25)</f>
        <v>1895554</v>
      </c>
      <c r="J25" s="95"/>
      <c r="K25" s="95"/>
      <c r="L25" s="95"/>
      <c r="M25" s="95"/>
      <c r="N25" s="95"/>
      <c r="O25" s="95"/>
      <c r="P25" s="95"/>
    </row>
    <row r="26" spans="1:16">
      <c r="A26" s="95"/>
      <c r="B26" s="462"/>
      <c r="C26" s="604"/>
      <c r="D26" s="610"/>
      <c r="E26" s="610"/>
      <c r="F26" s="595"/>
      <c r="G26" s="595"/>
      <c r="H26" s="606"/>
      <c r="I26" s="595"/>
      <c r="J26" s="95"/>
      <c r="K26" s="95"/>
      <c r="L26" s="95"/>
      <c r="M26" s="95"/>
      <c r="N26" s="95"/>
      <c r="O26" s="95"/>
      <c r="P26" s="95"/>
    </row>
    <row r="27" spans="1:16">
      <c r="A27" s="95"/>
      <c r="B27" s="462" t="s">
        <v>752</v>
      </c>
      <c r="C27" s="687">
        <v>300</v>
      </c>
      <c r="D27" s="610">
        <f>D21</f>
        <v>2070</v>
      </c>
      <c r="E27" s="610">
        <f>E21</f>
        <v>2375</v>
      </c>
      <c r="F27" s="595">
        <f>$C27*D27</f>
        <v>621000</v>
      </c>
      <c r="G27" s="595">
        <f>$C27*E27</f>
        <v>712500</v>
      </c>
      <c r="H27" s="606">
        <f>SUM(D27:E27)</f>
        <v>4445</v>
      </c>
      <c r="I27" s="595">
        <f t="shared" ref="I27" si="12">SUM(F27:G27)</f>
        <v>1333500</v>
      </c>
      <c r="J27" s="95"/>
      <c r="K27" s="95"/>
      <c r="L27" s="95"/>
      <c r="M27" s="95"/>
      <c r="N27" s="95"/>
      <c r="O27" s="95"/>
      <c r="P27" s="95"/>
    </row>
    <row r="28" spans="1:16">
      <c r="A28" s="95"/>
      <c r="B28" s="462"/>
      <c r="C28" s="604"/>
      <c r="D28" s="610"/>
      <c r="E28" s="610"/>
      <c r="F28" s="595"/>
      <c r="G28" s="595"/>
      <c r="H28" s="606"/>
      <c r="I28" s="595"/>
      <c r="J28" s="95"/>
      <c r="K28" s="95"/>
      <c r="L28" s="95"/>
      <c r="M28" s="95"/>
      <c r="N28" s="95"/>
      <c r="O28" s="95"/>
      <c r="P28" s="95"/>
    </row>
    <row r="29" spans="1:16">
      <c r="A29" s="95"/>
      <c r="B29" s="464"/>
      <c r="C29" s="596" t="s">
        <v>753</v>
      </c>
      <c r="D29" s="596" t="s">
        <v>754</v>
      </c>
      <c r="E29" s="596" t="s">
        <v>754</v>
      </c>
      <c r="F29" s="596" t="str">
        <f>F$11</f>
        <v>Phase I ($)</v>
      </c>
      <c r="G29" s="596" t="str">
        <f>G$11</f>
        <v>Phase II ($)</v>
      </c>
      <c r="H29" s="596" t="s">
        <v>751</v>
      </c>
      <c r="I29" s="596" t="str">
        <f>I$11</f>
        <v>Total Cost</v>
      </c>
      <c r="J29" s="95"/>
      <c r="K29" s="95"/>
      <c r="L29" s="95"/>
      <c r="M29" s="95"/>
      <c r="N29" s="95"/>
      <c r="O29" s="95"/>
      <c r="P29" s="95"/>
    </row>
    <row r="30" spans="1:16">
      <c r="A30" s="95"/>
      <c r="B30" s="462" t="s">
        <v>745</v>
      </c>
      <c r="C30" s="687">
        <v>13333</v>
      </c>
      <c r="D30" s="611">
        <f>'Phase I - CF MF Market Rental'!$G$12+'Phase I - CF Affordable Rental'!$G$12</f>
        <v>501</v>
      </c>
      <c r="E30" s="612">
        <f>'Phase II - CF MF Market Rental'!$G$12+'Phase II - CF Affordable Rental'!$G$12</f>
        <v>541.82538999999997</v>
      </c>
      <c r="F30" s="595">
        <f t="shared" ref="F30" si="13">$C30*D30</f>
        <v>6679833</v>
      </c>
      <c r="G30" s="595">
        <f t="shared" ref="G30" si="14">$C30*E30</f>
        <v>7224157.9248699993</v>
      </c>
      <c r="H30" s="613">
        <f>SUM(D30:E30)</f>
        <v>1042.82539</v>
      </c>
      <c r="I30" s="595">
        <f t="shared" ref="I30" si="15">SUM(F30:G30)</f>
        <v>13903990.924869999</v>
      </c>
      <c r="J30" s="95"/>
      <c r="K30" s="95"/>
      <c r="L30" s="95"/>
      <c r="M30" s="95"/>
      <c r="N30" s="95"/>
      <c r="O30" s="95"/>
      <c r="P30" s="95"/>
    </row>
    <row r="31" spans="1:16">
      <c r="A31" s="95"/>
      <c r="B31" s="462"/>
      <c r="C31" s="604"/>
      <c r="D31" s="610"/>
      <c r="E31" s="610"/>
      <c r="F31" s="595"/>
      <c r="G31" s="595"/>
      <c r="H31" s="606"/>
      <c r="I31" s="595"/>
      <c r="J31" s="95"/>
      <c r="K31" s="95"/>
      <c r="L31" s="95"/>
      <c r="M31" s="95"/>
      <c r="N31" s="95"/>
      <c r="O31" s="95"/>
      <c r="P31" s="95"/>
    </row>
    <row r="32" spans="1:16">
      <c r="A32" s="95"/>
      <c r="B32" s="462"/>
      <c r="C32" s="614" t="s">
        <v>748</v>
      </c>
      <c r="D32" s="596" t="s">
        <v>749</v>
      </c>
      <c r="E32" s="596" t="s">
        <v>749</v>
      </c>
      <c r="F32" s="596" t="str">
        <f>F$11</f>
        <v>Phase I ($)</v>
      </c>
      <c r="G32" s="596" t="str">
        <f>G$11</f>
        <v>Phase II ($)</v>
      </c>
      <c r="H32" s="596" t="s">
        <v>751</v>
      </c>
      <c r="I32" s="596" t="str">
        <f>I$11</f>
        <v>Total Cost</v>
      </c>
      <c r="J32" s="95"/>
      <c r="K32" s="95"/>
      <c r="L32" s="95"/>
      <c r="M32" s="95"/>
      <c r="N32" s="95"/>
      <c r="O32" s="95"/>
      <c r="P32" s="95"/>
    </row>
    <row r="33" spans="1:16">
      <c r="A33" s="95"/>
      <c r="B33" s="462" t="s">
        <v>747</v>
      </c>
      <c r="C33" s="687">
        <v>10000</v>
      </c>
      <c r="D33" s="612">
        <f>'Phase I - CF MF Market Rental'!G20</f>
        <v>234</v>
      </c>
      <c r="E33" s="612">
        <f>'Phase II - CF MF Market Rental'!G20</f>
        <v>253.21692666666664</v>
      </c>
      <c r="F33" s="595">
        <f t="shared" ref="F33" si="16">$C33*D33</f>
        <v>2340000</v>
      </c>
      <c r="G33" s="595">
        <f t="shared" ref="G33" si="17">$C33*E33</f>
        <v>2532169.2666666666</v>
      </c>
      <c r="H33" s="606">
        <f>SUM(D33:E33)</f>
        <v>487.21692666666661</v>
      </c>
      <c r="I33" s="595">
        <f t="shared" ref="I33" si="18">SUM(F33:G33)</f>
        <v>4872169.2666666666</v>
      </c>
      <c r="J33" s="95"/>
      <c r="K33" s="95"/>
      <c r="L33" s="95"/>
      <c r="M33" s="95"/>
      <c r="N33" s="95"/>
      <c r="O33" s="95"/>
      <c r="P33" s="95"/>
    </row>
    <row r="34" spans="1:16">
      <c r="A34" s="95"/>
      <c r="B34" s="462"/>
      <c r="C34" s="604"/>
      <c r="D34" s="612"/>
      <c r="E34" s="612"/>
      <c r="F34" s="595"/>
      <c r="G34" s="595"/>
      <c r="H34" s="606"/>
      <c r="I34" s="595"/>
      <c r="J34" s="95"/>
      <c r="K34" s="95"/>
      <c r="L34" s="95"/>
      <c r="M34" s="95"/>
      <c r="N34" s="95"/>
      <c r="O34" s="95"/>
      <c r="P34" s="95"/>
    </row>
    <row r="35" spans="1:16" s="560" customFormat="1">
      <c r="A35" s="558"/>
      <c r="B35" s="559" t="s">
        <v>866</v>
      </c>
      <c r="C35" s="691">
        <v>0.1</v>
      </c>
      <c r="D35" s="615"/>
      <c r="E35" s="615"/>
      <c r="F35" s="597">
        <f>SUM(F13:F19,F21:F27,F30,F33)*$C$35</f>
        <v>1887890.7000000002</v>
      </c>
      <c r="G35" s="597">
        <f>SUM(G13:G19,G21:G27,G30,G33)*$C$35</f>
        <v>1513751.7191536666</v>
      </c>
      <c r="H35" s="616"/>
      <c r="I35" s="597">
        <f>SUM(I13:I19,I21:I27,I30,I33)*$C$35</f>
        <v>3401642.4191536666</v>
      </c>
      <c r="J35" s="558"/>
      <c r="K35" s="558"/>
      <c r="L35" s="558"/>
      <c r="M35" s="558"/>
      <c r="N35" s="558"/>
      <c r="O35" s="558"/>
      <c r="P35" s="558"/>
    </row>
    <row r="36" spans="1:16">
      <c r="A36" s="95"/>
      <c r="B36" s="462"/>
      <c r="C36" s="604"/>
      <c r="D36" s="612"/>
      <c r="E36" s="612"/>
      <c r="F36" s="595"/>
      <c r="G36" s="595"/>
      <c r="H36" s="606"/>
      <c r="I36" s="595"/>
      <c r="J36" s="95"/>
      <c r="K36" s="95"/>
      <c r="L36" s="95"/>
      <c r="M36" s="95"/>
      <c r="N36" s="95"/>
      <c r="O36" s="95"/>
      <c r="P36" s="95"/>
    </row>
    <row r="37" spans="1:16">
      <c r="A37" s="95"/>
      <c r="B37" s="465" t="s">
        <v>743</v>
      </c>
      <c r="C37" s="617"/>
      <c r="D37" s="617"/>
      <c r="E37" s="598"/>
      <c r="F37" s="598">
        <f>SUM(F13:F35)</f>
        <v>20766797.699999999</v>
      </c>
      <c r="G37" s="598">
        <f>SUM(G13:G35)</f>
        <v>16651268.910690332</v>
      </c>
      <c r="H37" s="617"/>
      <c r="I37" s="598">
        <f>SUM(I13:I35)</f>
        <v>37418066.610690333</v>
      </c>
      <c r="J37" s="95"/>
      <c r="K37" s="95"/>
      <c r="L37" s="95"/>
      <c r="M37" s="95"/>
      <c r="N37" s="95"/>
      <c r="O37" s="95"/>
      <c r="P37" s="95"/>
    </row>
    <row r="38" spans="1:16">
      <c r="A38" s="95"/>
      <c r="B38" s="95"/>
      <c r="C38" s="592"/>
      <c r="D38" s="592"/>
      <c r="E38" s="592"/>
      <c r="F38" s="592"/>
      <c r="G38" s="592"/>
      <c r="H38" s="592"/>
      <c r="I38" s="599"/>
      <c r="J38" s="95"/>
      <c r="K38" s="95"/>
      <c r="L38" s="95"/>
      <c r="M38" s="95"/>
      <c r="N38" s="95"/>
      <c r="O38" s="95"/>
      <c r="P38" s="95"/>
    </row>
    <row r="39" spans="1:16">
      <c r="A39" s="95"/>
      <c r="B39" s="466" t="s">
        <v>761</v>
      </c>
      <c r="C39" s="618"/>
      <c r="D39" s="619">
        <f t="shared" ref="D39:I39" si="19">SUM(D13:D19)</f>
        <v>123201</v>
      </c>
      <c r="E39" s="619">
        <f t="shared" si="19"/>
        <v>47781</v>
      </c>
      <c r="F39" s="600">
        <f t="shared" si="19"/>
        <v>6644310</v>
      </c>
      <c r="G39" s="600">
        <f t="shared" si="19"/>
        <v>2389050</v>
      </c>
      <c r="H39" s="620">
        <f t="shared" si="19"/>
        <v>170982</v>
      </c>
      <c r="I39" s="600">
        <f t="shared" si="19"/>
        <v>9033360</v>
      </c>
      <c r="J39" s="467"/>
      <c r="K39" s="389"/>
      <c r="L39" s="340"/>
      <c r="M39" s="95"/>
      <c r="N39" s="467"/>
      <c r="O39" s="389"/>
      <c r="P39" s="340"/>
    </row>
    <row r="40" spans="1:16">
      <c r="A40" s="95"/>
      <c r="B40" s="95"/>
      <c r="C40" s="592"/>
      <c r="D40" s="592"/>
      <c r="E40" s="599"/>
      <c r="F40" s="592"/>
      <c r="G40" s="599"/>
      <c r="H40" s="592"/>
      <c r="I40" s="592"/>
      <c r="J40" s="95"/>
      <c r="K40" s="95"/>
      <c r="L40" s="97"/>
      <c r="M40" s="95"/>
      <c r="N40" s="95"/>
      <c r="O40" s="95"/>
      <c r="P40" s="97"/>
    </row>
    <row r="41" spans="1:16">
      <c r="A41" s="95"/>
      <c r="B41" s="95"/>
      <c r="C41" s="592"/>
      <c r="D41" s="592"/>
      <c r="E41" s="599"/>
      <c r="F41" s="592"/>
      <c r="G41" s="599"/>
      <c r="H41" s="592"/>
      <c r="I41" s="592"/>
      <c r="J41" s="95"/>
      <c r="K41" s="95"/>
      <c r="L41" s="97"/>
      <c r="M41" s="95"/>
      <c r="N41" s="95"/>
      <c r="O41" s="95"/>
      <c r="P41" s="97"/>
    </row>
    <row r="42" spans="1:16">
      <c r="A42" s="95"/>
      <c r="B42" s="95"/>
      <c r="C42" s="592"/>
      <c r="D42" s="592"/>
      <c r="E42" s="599"/>
      <c r="F42" s="592"/>
      <c r="G42" s="599"/>
      <c r="H42" s="592"/>
      <c r="I42" s="592"/>
      <c r="J42" s="95"/>
      <c r="K42" s="95"/>
      <c r="L42" s="97"/>
      <c r="M42" s="95"/>
      <c r="N42" s="95"/>
      <c r="O42" s="95"/>
      <c r="P42" s="97"/>
    </row>
    <row r="43" spans="1:16">
      <c r="A43" s="95"/>
      <c r="B43" s="95"/>
      <c r="C43" s="592"/>
      <c r="D43" s="592"/>
      <c r="E43" s="599"/>
      <c r="F43" s="592"/>
      <c r="G43" s="599"/>
      <c r="H43" s="592"/>
      <c r="I43" s="592"/>
      <c r="J43" s="95"/>
      <c r="K43" s="95"/>
      <c r="L43" s="97"/>
      <c r="M43" s="95"/>
      <c r="N43" s="95"/>
      <c r="O43" s="95"/>
      <c r="P43" s="97"/>
    </row>
    <row r="44" spans="1:16">
      <c r="A44" s="95"/>
      <c r="B44" s="95"/>
      <c r="C44" s="592"/>
      <c r="D44" s="592"/>
      <c r="E44" s="599"/>
      <c r="F44" s="592"/>
      <c r="G44" s="599"/>
      <c r="H44" s="592"/>
      <c r="I44" s="592"/>
      <c r="J44" s="95"/>
      <c r="K44" s="95"/>
      <c r="L44" s="97"/>
      <c r="M44" s="95"/>
      <c r="N44" s="95"/>
      <c r="O44" s="95"/>
      <c r="P44" s="97"/>
    </row>
    <row r="45" spans="1:16">
      <c r="A45" s="95"/>
      <c r="B45" s="95"/>
      <c r="C45" s="592"/>
      <c r="D45" s="592"/>
      <c r="E45" s="599"/>
      <c r="F45" s="592"/>
      <c r="G45" s="599"/>
      <c r="H45" s="592"/>
      <c r="I45" s="592"/>
      <c r="J45" s="95"/>
      <c r="K45" s="95"/>
      <c r="L45" s="97"/>
      <c r="M45" s="95"/>
      <c r="N45" s="95"/>
      <c r="O45" s="95"/>
      <c r="P45" s="97"/>
    </row>
    <row r="46" spans="1:16">
      <c r="A46" s="95"/>
      <c r="B46" s="95"/>
      <c r="C46" s="592"/>
      <c r="D46" s="592"/>
      <c r="E46" s="592"/>
      <c r="F46" s="592"/>
      <c r="G46" s="592"/>
      <c r="H46" s="592"/>
      <c r="I46" s="592"/>
      <c r="J46" s="95"/>
      <c r="K46" s="95"/>
      <c r="L46" s="95"/>
      <c r="M46" s="95"/>
      <c r="N46" s="95"/>
      <c r="O46" s="95"/>
      <c r="P46" s="95"/>
    </row>
    <row r="47" spans="1:16">
      <c r="A47" s="95"/>
      <c r="B47" s="468"/>
      <c r="C47" s="592"/>
      <c r="D47" s="592"/>
      <c r="E47" s="592"/>
      <c r="F47" s="592"/>
      <c r="G47" s="592"/>
      <c r="H47" s="592"/>
      <c r="I47" s="592"/>
      <c r="J47" s="95"/>
      <c r="K47" s="95"/>
      <c r="L47" s="95"/>
      <c r="M47" s="95"/>
      <c r="N47" s="95"/>
      <c r="O47" s="95"/>
      <c r="P47" s="95"/>
    </row>
    <row r="48" spans="1:16">
      <c r="A48" s="95"/>
      <c r="B48" s="95"/>
      <c r="C48" s="621"/>
      <c r="D48" s="592"/>
      <c r="E48" s="592"/>
      <c r="F48" s="592"/>
      <c r="G48" s="592"/>
      <c r="H48" s="592"/>
      <c r="I48" s="592"/>
      <c r="J48" s="95"/>
      <c r="K48" s="95"/>
      <c r="L48" s="95"/>
      <c r="M48" s="95"/>
      <c r="N48" s="95"/>
      <c r="O48" s="95"/>
      <c r="P48" s="95"/>
    </row>
    <row r="49" spans="1:16">
      <c r="A49" s="95"/>
      <c r="B49" s="95"/>
      <c r="C49" s="622"/>
      <c r="D49" s="592"/>
      <c r="E49" s="592"/>
      <c r="F49" s="592"/>
      <c r="G49" s="592"/>
      <c r="H49" s="592"/>
      <c r="I49" s="592"/>
      <c r="J49" s="95"/>
      <c r="K49" s="95"/>
      <c r="L49" s="95"/>
      <c r="M49" s="95"/>
      <c r="N49" s="95"/>
      <c r="O49" s="95"/>
      <c r="P49" s="95"/>
    </row>
    <row r="50" spans="1:16">
      <c r="A50" s="95"/>
      <c r="B50" s="95"/>
      <c r="C50" s="622"/>
      <c r="D50" s="592"/>
      <c r="E50" s="592"/>
      <c r="F50" s="592"/>
      <c r="G50" s="592"/>
      <c r="H50" s="592"/>
      <c r="I50" s="592"/>
      <c r="J50" s="95"/>
      <c r="K50" s="95"/>
      <c r="L50" s="95"/>
      <c r="M50" s="95"/>
      <c r="N50" s="95"/>
      <c r="O50" s="95"/>
      <c r="P50" s="95"/>
    </row>
    <row r="51" spans="1:16">
      <c r="A51" s="95"/>
      <c r="B51" s="95"/>
      <c r="C51" s="621"/>
      <c r="D51" s="592"/>
      <c r="E51" s="592"/>
      <c r="F51" s="592"/>
      <c r="G51" s="592"/>
      <c r="H51" s="592"/>
      <c r="I51" s="592"/>
      <c r="J51" s="95"/>
      <c r="K51" s="95"/>
      <c r="L51" s="95"/>
      <c r="M51" s="95"/>
      <c r="N51" s="95"/>
      <c r="O51" s="95"/>
      <c r="P51" s="95"/>
    </row>
    <row r="52" spans="1:16">
      <c r="A52" s="95"/>
      <c r="B52" s="95"/>
      <c r="C52" s="621"/>
      <c r="D52" s="592"/>
      <c r="E52" s="592"/>
      <c r="F52" s="592"/>
      <c r="G52" s="592"/>
      <c r="H52" s="592"/>
      <c r="I52" s="592"/>
      <c r="J52" s="95"/>
      <c r="K52" s="95"/>
      <c r="L52" s="95"/>
      <c r="M52" s="95"/>
      <c r="N52" s="95"/>
      <c r="O52" s="95"/>
      <c r="P52" s="95"/>
    </row>
    <row r="53" spans="1:16">
      <c r="A53" s="95"/>
      <c r="B53" s="95"/>
      <c r="C53" s="622"/>
      <c r="D53" s="592"/>
      <c r="E53" s="592"/>
      <c r="F53" s="592"/>
      <c r="G53" s="592"/>
      <c r="H53" s="592"/>
      <c r="I53" s="592"/>
      <c r="J53" s="95"/>
      <c r="K53" s="95"/>
      <c r="L53" s="95"/>
      <c r="M53" s="95"/>
      <c r="N53" s="95"/>
      <c r="O53" s="95"/>
      <c r="P53" s="95"/>
    </row>
    <row r="54" spans="1:16">
      <c r="A54" s="95"/>
      <c r="B54" s="95"/>
      <c r="C54" s="592"/>
      <c r="D54" s="592"/>
      <c r="E54" s="592"/>
      <c r="F54" s="592"/>
      <c r="G54" s="592"/>
      <c r="H54" s="592"/>
      <c r="I54" s="592"/>
      <c r="J54" s="95"/>
      <c r="K54" s="95"/>
      <c r="L54" s="95"/>
      <c r="M54" s="95"/>
      <c r="N54" s="95"/>
      <c r="O54" s="95"/>
      <c r="P54" s="95"/>
    </row>
    <row r="55" spans="1:16">
      <c r="A55" s="95"/>
      <c r="B55" s="468"/>
      <c r="C55" s="592"/>
      <c r="D55" s="592"/>
      <c r="E55" s="592"/>
      <c r="F55" s="601"/>
      <c r="G55" s="601"/>
      <c r="H55" s="601"/>
      <c r="I55" s="601"/>
      <c r="J55" s="95"/>
      <c r="K55" s="95"/>
      <c r="L55" s="95"/>
      <c r="M55" s="95"/>
      <c r="N55" s="95"/>
      <c r="O55" s="95"/>
      <c r="P55" s="95"/>
    </row>
    <row r="56" spans="1:16">
      <c r="A56" s="95"/>
      <c r="B56" s="95"/>
      <c r="C56" s="592"/>
      <c r="D56" s="592"/>
      <c r="E56" s="599"/>
      <c r="F56" s="592"/>
      <c r="G56" s="592"/>
      <c r="H56" s="592"/>
      <c r="I56" s="599"/>
      <c r="J56" s="95"/>
      <c r="K56" s="95"/>
      <c r="L56" s="95"/>
      <c r="M56" s="95"/>
      <c r="N56" s="95"/>
      <c r="O56" s="95"/>
      <c r="P56" s="95"/>
    </row>
    <row r="57" spans="1:16">
      <c r="A57" s="95"/>
      <c r="B57" s="95"/>
      <c r="C57" s="592"/>
      <c r="D57" s="592"/>
      <c r="E57" s="599"/>
      <c r="F57" s="592"/>
      <c r="G57" s="592"/>
      <c r="H57" s="592"/>
      <c r="I57" s="599"/>
      <c r="J57" s="95"/>
      <c r="K57" s="95"/>
      <c r="L57" s="95"/>
      <c r="M57" s="95"/>
      <c r="N57" s="95"/>
      <c r="O57" s="95"/>
      <c r="P57" s="95"/>
    </row>
    <row r="58" spans="1:16">
      <c r="A58" s="95"/>
      <c r="B58" s="95"/>
      <c r="C58" s="592"/>
      <c r="D58" s="592"/>
      <c r="E58" s="599"/>
      <c r="F58" s="592"/>
      <c r="G58" s="592"/>
      <c r="H58" s="592"/>
      <c r="I58" s="599"/>
      <c r="J58" s="95"/>
      <c r="K58" s="95"/>
      <c r="L58" s="95"/>
      <c r="M58" s="95"/>
      <c r="N58" s="95"/>
      <c r="O58" s="95"/>
      <c r="P58" s="95"/>
    </row>
    <row r="59" spans="1:16">
      <c r="A59" s="95"/>
      <c r="B59" s="95"/>
      <c r="C59" s="592"/>
      <c r="D59" s="592"/>
      <c r="E59" s="599"/>
      <c r="F59" s="592"/>
      <c r="G59" s="592"/>
      <c r="H59" s="592"/>
      <c r="I59" s="599"/>
      <c r="J59" s="95"/>
      <c r="K59" s="95"/>
      <c r="L59" s="95"/>
      <c r="M59" s="95"/>
      <c r="N59" s="95"/>
      <c r="O59" s="95"/>
      <c r="P59" s="95"/>
    </row>
    <row r="60" spans="1:16">
      <c r="A60" s="95"/>
      <c r="B60" s="95"/>
      <c r="C60" s="592"/>
      <c r="D60" s="592"/>
      <c r="E60" s="599"/>
      <c r="F60" s="592"/>
      <c r="G60" s="592"/>
      <c r="H60" s="592"/>
      <c r="I60" s="599"/>
      <c r="J60" s="95"/>
      <c r="K60" s="95"/>
      <c r="L60" s="95"/>
      <c r="M60" s="95"/>
      <c r="N60" s="95"/>
      <c r="O60" s="95"/>
      <c r="P60" s="95"/>
    </row>
    <row r="61" spans="1:16">
      <c r="A61" s="95"/>
      <c r="B61" s="95"/>
      <c r="C61" s="592"/>
      <c r="D61" s="592"/>
      <c r="E61" s="592"/>
      <c r="F61" s="592"/>
      <c r="G61" s="592"/>
      <c r="H61" s="592"/>
      <c r="I61" s="599"/>
      <c r="J61" s="95"/>
      <c r="K61" s="95"/>
      <c r="L61" s="95"/>
      <c r="M61" s="95"/>
      <c r="N61" s="95"/>
      <c r="O61" s="95"/>
      <c r="P61" s="95"/>
    </row>
    <row r="62" spans="1:16">
      <c r="A62" s="95"/>
      <c r="B62" s="468"/>
      <c r="C62" s="592"/>
      <c r="D62" s="592"/>
      <c r="E62" s="592"/>
      <c r="F62" s="592"/>
      <c r="G62" s="592"/>
      <c r="H62" s="623"/>
      <c r="I62" s="592"/>
      <c r="J62" s="468"/>
      <c r="K62" s="95"/>
      <c r="L62" s="337"/>
      <c r="M62" s="95"/>
      <c r="N62" s="468"/>
      <c r="O62" s="95"/>
      <c r="P62" s="337"/>
    </row>
    <row r="63" spans="1:16">
      <c r="A63" s="95"/>
      <c r="B63" s="95"/>
      <c r="C63" s="592"/>
      <c r="D63" s="592"/>
      <c r="E63" s="599"/>
      <c r="F63" s="592"/>
      <c r="G63" s="599"/>
      <c r="H63" s="592"/>
      <c r="I63" s="592"/>
      <c r="J63" s="95"/>
      <c r="K63" s="95"/>
      <c r="L63" s="97"/>
      <c r="M63" s="95"/>
      <c r="N63" s="95"/>
      <c r="O63" s="95"/>
      <c r="P63" s="97"/>
    </row>
    <row r="64" spans="1:16">
      <c r="A64" s="95"/>
      <c r="B64" s="95"/>
      <c r="C64" s="592"/>
      <c r="D64" s="592"/>
      <c r="E64" s="599"/>
      <c r="F64" s="592"/>
      <c r="G64" s="599"/>
      <c r="H64" s="592"/>
      <c r="I64" s="592"/>
      <c r="J64" s="95"/>
      <c r="K64" s="95"/>
      <c r="L64" s="97"/>
      <c r="M64" s="95"/>
      <c r="N64" s="95"/>
      <c r="O64" s="95"/>
      <c r="P64" s="97"/>
    </row>
    <row r="65" spans="1:16">
      <c r="A65" s="95"/>
      <c r="B65" s="95"/>
      <c r="C65" s="592"/>
      <c r="D65" s="592"/>
      <c r="E65" s="599"/>
      <c r="F65" s="592"/>
      <c r="G65" s="599"/>
      <c r="H65" s="592"/>
      <c r="I65" s="592"/>
      <c r="J65" s="95"/>
      <c r="K65" s="95"/>
      <c r="L65" s="97"/>
      <c r="M65" s="95"/>
      <c r="N65" s="95"/>
      <c r="O65" s="95"/>
      <c r="P65" s="97"/>
    </row>
    <row r="66" spans="1:16">
      <c r="A66" s="95"/>
      <c r="B66" s="95"/>
      <c r="C66" s="592"/>
      <c r="D66" s="592"/>
      <c r="E66" s="599"/>
      <c r="F66" s="592"/>
      <c r="G66" s="599"/>
      <c r="H66" s="592"/>
      <c r="I66" s="592"/>
      <c r="J66" s="95"/>
      <c r="K66" s="95"/>
      <c r="L66" s="97"/>
      <c r="M66" s="95"/>
      <c r="N66" s="95"/>
      <c r="O66" s="95"/>
      <c r="P66" s="97"/>
    </row>
    <row r="67" spans="1:16">
      <c r="A67" s="95"/>
      <c r="B67" s="95"/>
      <c r="C67" s="592"/>
      <c r="D67" s="592"/>
      <c r="E67" s="599"/>
      <c r="F67" s="592"/>
      <c r="G67" s="599"/>
      <c r="H67" s="592"/>
      <c r="I67" s="592"/>
      <c r="J67" s="95"/>
      <c r="K67" s="95"/>
      <c r="L67" s="97"/>
      <c r="M67" s="95"/>
      <c r="N67" s="95"/>
      <c r="O67" s="95"/>
      <c r="P67" s="97"/>
    </row>
    <row r="68" spans="1:16">
      <c r="A68" s="95"/>
      <c r="B68" s="95"/>
      <c r="C68" s="592"/>
      <c r="D68" s="592"/>
      <c r="E68" s="599"/>
      <c r="F68" s="592"/>
      <c r="G68" s="599"/>
      <c r="H68" s="592"/>
      <c r="I68" s="592"/>
      <c r="J68" s="95"/>
      <c r="K68" s="95"/>
      <c r="L68" s="97"/>
      <c r="M68" s="95"/>
      <c r="N68" s="95"/>
      <c r="O68" s="95"/>
      <c r="P68" s="97"/>
    </row>
  </sheetData>
  <printOptions horizontalCentered="1"/>
  <pageMargins left="0.7" right="0.7" top="0.75" bottom="0.75" header="0.3" footer="0.3"/>
  <pageSetup paperSize="3" fitToHeight="0" orientation="landscape" r:id="rId1"/>
  <headerFooter>
    <oddHeader xml:space="preserve">&amp;L2019 ULI Hines Student Competition&amp;R2019-331 &amp;A 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D4A6B-2EA1-4042-8390-1C5553AD2145}">
  <sheetPr>
    <tabColor rgb="FF92D050"/>
    <pageSetUpPr fitToPage="1"/>
  </sheetPr>
  <dimension ref="B1:Z62"/>
  <sheetViews>
    <sheetView showGridLines="0" view="pageBreakPreview" zoomScale="80" zoomScaleNormal="100" zoomScaleSheetLayoutView="80" workbookViewId="0"/>
  </sheetViews>
  <sheetFormatPr defaultRowHeight="13.2"/>
  <cols>
    <col min="1" max="1" width="1.77734375" customWidth="1"/>
    <col min="2" max="2" width="18.33203125" customWidth="1"/>
    <col min="3" max="3" width="9" bestFit="1" customWidth="1"/>
    <col min="4" max="4" width="14.44140625" style="3" bestFit="1" customWidth="1"/>
    <col min="5" max="5" width="2.6640625" customWidth="1"/>
    <col min="7" max="7" width="22.88671875" bestFit="1" customWidth="1"/>
    <col min="8" max="8" width="11.77734375" bestFit="1" customWidth="1"/>
    <col min="9" max="9" width="9.77734375" bestFit="1" customWidth="1"/>
    <col min="10" max="10" width="18.44140625" bestFit="1" customWidth="1"/>
    <col min="11" max="11" width="13.109375" bestFit="1" customWidth="1"/>
    <col min="12" max="12" width="12.77734375" bestFit="1" customWidth="1"/>
    <col min="13" max="13" width="2.6640625" customWidth="1"/>
    <col min="16" max="16" width="15.33203125" customWidth="1"/>
    <col min="17" max="17" width="2.5546875" customWidth="1"/>
    <col min="20" max="20" width="14.6640625" customWidth="1"/>
    <col min="24" max="24" width="13.109375" style="3" bestFit="1" customWidth="1"/>
    <col min="25" max="25" width="7.21875" bestFit="1" customWidth="1"/>
    <col min="26" max="26" width="15.44140625" bestFit="1" customWidth="1"/>
  </cols>
  <sheetData>
    <row r="1" spans="2:10">
      <c r="B1" s="202"/>
    </row>
    <row r="2" spans="2:10">
      <c r="B2" s="202"/>
    </row>
    <row r="3" spans="2:10">
      <c r="B3" s="202"/>
    </row>
    <row r="4" spans="2:10">
      <c r="B4" s="202"/>
    </row>
    <row r="5" spans="2:10">
      <c r="B5" s="202"/>
    </row>
    <row r="6" spans="2:10">
      <c r="B6" s="202"/>
    </row>
    <row r="7" spans="2:10">
      <c r="B7" s="202"/>
    </row>
    <row r="8" spans="2:10">
      <c r="B8" s="410" t="s">
        <v>762</v>
      </c>
    </row>
    <row r="9" spans="2:10" ht="13.8" thickBot="1">
      <c r="B9" s="202"/>
    </row>
    <row r="10" spans="2:10" ht="14.4">
      <c r="B10" s="412" t="s">
        <v>441</v>
      </c>
      <c r="C10" s="413"/>
      <c r="D10" s="414" t="s">
        <v>442</v>
      </c>
      <c r="E10" s="1"/>
      <c r="F10" s="412" t="s">
        <v>455</v>
      </c>
      <c r="G10" s="413"/>
      <c r="H10" s="414" t="s">
        <v>442</v>
      </c>
    </row>
    <row r="11" spans="2:10" ht="14.4">
      <c r="B11" s="415" t="s">
        <v>440</v>
      </c>
      <c r="C11" s="335">
        <f>D11/$D$16</f>
        <v>0.31317776030175265</v>
      </c>
      <c r="D11" s="416">
        <f>SUM(D19,D42)</f>
        <v>860180.29999999993</v>
      </c>
      <c r="E11" s="1"/>
      <c r="F11" s="417" t="s">
        <v>399</v>
      </c>
      <c r="G11" s="96"/>
      <c r="H11" s="421">
        <f>SUM(Parcels!N96:N97)</f>
        <v>739539.4</v>
      </c>
    </row>
    <row r="12" spans="2:10">
      <c r="B12" s="417" t="s">
        <v>653</v>
      </c>
      <c r="C12" s="335">
        <f>D12/$D$16</f>
        <v>0.13421904012932259</v>
      </c>
      <c r="D12" s="416">
        <f>SUM(D20,D43)</f>
        <v>368648.7</v>
      </c>
      <c r="E12" s="1"/>
      <c r="F12" s="417" t="s">
        <v>400</v>
      </c>
      <c r="G12" s="388"/>
      <c r="H12" s="422" t="s">
        <v>789</v>
      </c>
    </row>
    <row r="13" spans="2:10" ht="14.4">
      <c r="B13" s="417" t="s">
        <v>439</v>
      </c>
      <c r="C13" s="335">
        <f t="shared" ref="C13:C15" si="0">D13/$D$16</f>
        <v>0.36865492860315585</v>
      </c>
      <c r="D13" s="416">
        <f>SUM(D21,D44)</f>
        <v>1012555</v>
      </c>
      <c r="E13" s="1"/>
      <c r="F13" s="415" t="s">
        <v>651</v>
      </c>
      <c r="G13" s="96"/>
      <c r="H13" s="423">
        <f>H14/H11</f>
        <v>3.7139603380157973</v>
      </c>
    </row>
    <row r="14" spans="2:10" ht="13.8" thickBot="1">
      <c r="B14" s="417" t="s">
        <v>25</v>
      </c>
      <c r="C14" s="335">
        <f t="shared" si="0"/>
        <v>0.13380482192658613</v>
      </c>
      <c r="D14" s="416">
        <f>SUM(D22,D45)</f>
        <v>367511</v>
      </c>
      <c r="F14" s="424" t="s">
        <v>402</v>
      </c>
      <c r="G14" s="425"/>
      <c r="H14" s="426">
        <f>D24+D47</f>
        <v>2746620</v>
      </c>
      <c r="J14" s="325"/>
    </row>
    <row r="15" spans="2:10">
      <c r="B15" s="417" t="s">
        <v>26</v>
      </c>
      <c r="C15" s="335">
        <f t="shared" si="0"/>
        <v>5.0143449039182705E-2</v>
      </c>
      <c r="D15" s="416">
        <f>SUM(D23,D46)</f>
        <v>137725</v>
      </c>
    </row>
    <row r="16" spans="2:10" ht="13.8" thickBot="1">
      <c r="B16" s="418" t="s">
        <v>16</v>
      </c>
      <c r="C16" s="419">
        <f>SUM(C11:C15)</f>
        <v>0.99999999999999989</v>
      </c>
      <c r="D16" s="420">
        <f>SUM(D11:D15)</f>
        <v>2746620</v>
      </c>
    </row>
    <row r="18" spans="2:26" ht="14.4">
      <c r="B18" s="199" t="s">
        <v>543</v>
      </c>
      <c r="C18" s="200"/>
      <c r="D18" s="201" t="s">
        <v>442</v>
      </c>
      <c r="W18" t="s">
        <v>20</v>
      </c>
      <c r="X18" s="3" t="s">
        <v>442</v>
      </c>
      <c r="Y18" s="3" t="s">
        <v>450</v>
      </c>
      <c r="Z18" s="3" t="s">
        <v>865</v>
      </c>
    </row>
    <row r="19" spans="2:26" ht="13.8" thickBot="1">
      <c r="B19" s="1" t="s">
        <v>440</v>
      </c>
      <c r="C19" s="198">
        <f>D19/$D$24</f>
        <v>0.38208955085906776</v>
      </c>
      <c r="D19" s="390">
        <f>'Building Summary'!$K$14*(1-F20)</f>
        <v>413326.89999999997</v>
      </c>
      <c r="G19" s="2" t="s">
        <v>655</v>
      </c>
      <c r="X19" s="549">
        <f>D19</f>
        <v>413326.89999999997</v>
      </c>
      <c r="Y19" s="456">
        <f>D19/$X$25</f>
        <v>0.35056193974594602</v>
      </c>
      <c r="Z19" s="2" t="s">
        <v>440</v>
      </c>
    </row>
    <row r="20" spans="2:26" ht="13.8" thickBot="1">
      <c r="B20" s="1" t="s">
        <v>653</v>
      </c>
      <c r="C20" s="198">
        <f>D20/$D$24</f>
        <v>0.16375266465388619</v>
      </c>
      <c r="D20" s="390">
        <f>'Building Summary'!$K$14*(F20)</f>
        <v>177140.1</v>
      </c>
      <c r="F20" s="683">
        <v>0.3</v>
      </c>
      <c r="G20" s="1" t="s">
        <v>654</v>
      </c>
      <c r="X20" s="549">
        <f>D20</f>
        <v>177140.1</v>
      </c>
      <c r="Y20" s="456">
        <f>D20/$X$25</f>
        <v>0.15024083131969118</v>
      </c>
      <c r="Z20" s="2" t="s">
        <v>653</v>
      </c>
    </row>
    <row r="21" spans="2:26">
      <c r="B21" t="s">
        <v>439</v>
      </c>
      <c r="C21" s="684">
        <v>0.30771598718377746</v>
      </c>
      <c r="D21" s="390">
        <f>'Phase I - Summary'!$D$16*C21</f>
        <v>332873</v>
      </c>
      <c r="X21" s="549">
        <f>D21</f>
        <v>332873</v>
      </c>
      <c r="Y21" s="456">
        <f>D21/$X$25</f>
        <v>0.28232521176108377</v>
      </c>
      <c r="Z21" s="3" t="s">
        <v>439</v>
      </c>
    </row>
    <row r="22" spans="2:26">
      <c r="B22" t="s">
        <v>25</v>
      </c>
      <c r="C22" s="684">
        <v>0.14644179730326859</v>
      </c>
      <c r="D22" s="390">
        <f>'Phase I - Summary'!$D$16*C22</f>
        <v>158414</v>
      </c>
      <c r="X22" s="549">
        <f>D22</f>
        <v>158414</v>
      </c>
      <c r="Y22" s="456">
        <f>D22/$X$25</f>
        <v>0.13435834716519612</v>
      </c>
      <c r="Z22" s="3" t="s">
        <v>25</v>
      </c>
    </row>
    <row r="23" spans="2:26" ht="13.8" thickBot="1">
      <c r="B23" t="s">
        <v>26</v>
      </c>
      <c r="C23" s="684">
        <v>0</v>
      </c>
      <c r="D23" s="390">
        <f>'Phase I - Summary'!$D$16*C23</f>
        <v>0</v>
      </c>
      <c r="X23" s="549">
        <f>SUM('Infrastructure Budget'!D13:D16)</f>
        <v>97287</v>
      </c>
      <c r="Y23" s="456">
        <f>X23/$X$25</f>
        <v>8.2513670008082837E-2</v>
      </c>
      <c r="Z23" s="3" t="s">
        <v>864</v>
      </c>
    </row>
    <row r="24" spans="2:26" ht="13.8" thickBot="1">
      <c r="B24" s="4" t="s">
        <v>542</v>
      </c>
      <c r="C24" s="39">
        <f>SUM(C19:C23)</f>
        <v>1</v>
      </c>
      <c r="D24" s="391">
        <f>SUM(D19:D23)</f>
        <v>1081754</v>
      </c>
      <c r="F24" s="209">
        <f>SUM(C19:C23)-C24</f>
        <v>0</v>
      </c>
      <c r="G24" s="1" t="s">
        <v>656</v>
      </c>
      <c r="Y24" s="456">
        <f>D23/$X$25</f>
        <v>0</v>
      </c>
      <c r="Z24" s="3" t="s">
        <v>26</v>
      </c>
    </row>
    <row r="25" spans="2:26">
      <c r="X25" s="550">
        <f>D24+SUM('Infrastructure Budget'!D13:D16)</f>
        <v>1179041</v>
      </c>
      <c r="Y25" s="456">
        <f>SUM(Y19:Y24)</f>
        <v>1</v>
      </c>
      <c r="Z25" s="3"/>
    </row>
    <row r="26" spans="2:26" ht="14.4">
      <c r="B26" s="199" t="s">
        <v>545</v>
      </c>
      <c r="C26" s="200"/>
      <c r="D26" s="201" t="s">
        <v>645</v>
      </c>
      <c r="F26" s="199" t="s">
        <v>546</v>
      </c>
      <c r="G26" s="200"/>
      <c r="H26" s="201"/>
      <c r="J26" s="94"/>
      <c r="K26" s="94"/>
      <c r="L26" s="94"/>
      <c r="M26" s="94"/>
    </row>
    <row r="27" spans="2:26">
      <c r="B27" s="1" t="s">
        <v>440</v>
      </c>
      <c r="D27" s="573">
        <v>175</v>
      </c>
      <c r="F27" s="1" t="s">
        <v>440</v>
      </c>
      <c r="H27" s="93">
        <f>D27*I27</f>
        <v>43.75</v>
      </c>
      <c r="I27" s="684">
        <v>0.25</v>
      </c>
      <c r="J27" s="95" t="s">
        <v>626</v>
      </c>
      <c r="K27" s="96"/>
      <c r="L27" s="96"/>
      <c r="M27" s="97"/>
    </row>
    <row r="28" spans="2:26">
      <c r="B28" s="1" t="s">
        <v>653</v>
      </c>
      <c r="D28" s="573">
        <f>D27</f>
        <v>175</v>
      </c>
      <c r="F28" s="1" t="s">
        <v>653</v>
      </c>
      <c r="H28" s="93">
        <f>D28*I28</f>
        <v>43.75</v>
      </c>
      <c r="I28" s="684">
        <v>0.25</v>
      </c>
      <c r="J28" s="95" t="s">
        <v>626</v>
      </c>
      <c r="K28" s="96"/>
      <c r="L28" s="96"/>
      <c r="M28" s="97"/>
      <c r="W28" t="s">
        <v>445</v>
      </c>
      <c r="X28" s="3" t="s">
        <v>442</v>
      </c>
      <c r="Y28" s="3" t="s">
        <v>450</v>
      </c>
      <c r="Z28" s="3" t="s">
        <v>865</v>
      </c>
    </row>
    <row r="29" spans="2:26">
      <c r="B29" t="s">
        <v>439</v>
      </c>
      <c r="D29" s="573">
        <v>185</v>
      </c>
      <c r="F29" t="s">
        <v>439</v>
      </c>
      <c r="H29" s="93">
        <f t="shared" ref="H29:H31" si="1">D29*I29</f>
        <v>46.25</v>
      </c>
      <c r="I29" s="684">
        <v>0.25</v>
      </c>
      <c r="J29" s="95" t="s">
        <v>626</v>
      </c>
      <c r="K29" s="96"/>
      <c r="L29" s="96"/>
      <c r="M29" s="97"/>
      <c r="X29" s="549">
        <f>D42</f>
        <v>446853.39999999997</v>
      </c>
      <c r="Y29" s="548">
        <f>X29/$X$35</f>
        <v>0.26091389527439102</v>
      </c>
      <c r="Z29" t="str">
        <f>B42</f>
        <v>Multifamily Rental</v>
      </c>
    </row>
    <row r="30" spans="2:26">
      <c r="B30" t="s">
        <v>25</v>
      </c>
      <c r="D30" s="573">
        <v>165</v>
      </c>
      <c r="F30" t="s">
        <v>25</v>
      </c>
      <c r="H30" s="93">
        <f t="shared" si="1"/>
        <v>41.25</v>
      </c>
      <c r="I30" s="684">
        <v>0.25</v>
      </c>
      <c r="J30" s="95" t="s">
        <v>626</v>
      </c>
      <c r="K30" s="96"/>
      <c r="L30" s="96"/>
      <c r="M30" s="97"/>
      <c r="X30" s="549">
        <f t="shared" ref="X30:X33" si="2">D43</f>
        <v>191508.6</v>
      </c>
      <c r="Y30" s="548">
        <f t="shared" ref="Y30:Y34" si="3">X30/$X$35</f>
        <v>0.11182024083188188</v>
      </c>
      <c r="Z30" t="str">
        <f t="shared" ref="Z30:Z33" si="4">B43</f>
        <v>Affordable Rental</v>
      </c>
    </row>
    <row r="31" spans="2:26">
      <c r="B31" t="s">
        <v>26</v>
      </c>
      <c r="D31" s="573">
        <v>165</v>
      </c>
      <c r="F31" t="s">
        <v>26</v>
      </c>
      <c r="H31" s="93">
        <f t="shared" si="1"/>
        <v>41.25</v>
      </c>
      <c r="I31" s="684">
        <v>0.25</v>
      </c>
      <c r="J31" s="95" t="s">
        <v>626</v>
      </c>
      <c r="K31" s="96"/>
      <c r="L31" s="96"/>
      <c r="M31" s="97"/>
      <c r="X31" s="549">
        <f t="shared" si="2"/>
        <v>679682</v>
      </c>
      <c r="Y31" s="548">
        <f t="shared" si="3"/>
        <v>0.39686053226379986</v>
      </c>
      <c r="Z31" t="str">
        <f t="shared" si="4"/>
        <v>Commerical</v>
      </c>
    </row>
    <row r="32" spans="2:26">
      <c r="J32" s="95"/>
      <c r="K32" s="96"/>
      <c r="L32" s="96"/>
      <c r="M32" s="98"/>
      <c r="X32" s="549">
        <f t="shared" si="2"/>
        <v>209097.00000000003</v>
      </c>
      <c r="Y32" s="548">
        <f t="shared" si="3"/>
        <v>0.12208995782551806</v>
      </c>
      <c r="Z32" t="str">
        <f t="shared" si="4"/>
        <v>Retail</v>
      </c>
    </row>
    <row r="33" spans="2:26" ht="14.4">
      <c r="B33" s="199" t="s">
        <v>549</v>
      </c>
      <c r="C33" s="200"/>
      <c r="D33" s="201"/>
      <c r="F33" s="199" t="s">
        <v>550</v>
      </c>
      <c r="G33" s="200"/>
      <c r="H33" s="201"/>
      <c r="J33" s="199" t="s">
        <v>551</v>
      </c>
      <c r="K33" s="200"/>
      <c r="L33" s="201"/>
      <c r="N33" s="199" t="s">
        <v>552</v>
      </c>
      <c r="O33" s="200"/>
      <c r="P33" s="201"/>
      <c r="R33" s="199" t="s">
        <v>553</v>
      </c>
      <c r="S33" s="200"/>
      <c r="T33" s="201"/>
      <c r="X33" s="549">
        <f t="shared" si="2"/>
        <v>137725</v>
      </c>
      <c r="Y33" s="548">
        <f t="shared" si="3"/>
        <v>8.0416454762715264E-2</v>
      </c>
      <c r="Z33" t="str">
        <f t="shared" si="4"/>
        <v>Hotel</v>
      </c>
    </row>
    <row r="34" spans="2:26">
      <c r="B34" s="1" t="s">
        <v>440</v>
      </c>
      <c r="D34" s="392">
        <f>$D27*$D19</f>
        <v>72332207.5</v>
      </c>
      <c r="F34" s="1" t="s">
        <v>440</v>
      </c>
      <c r="H34" s="93">
        <f>$H27*$D19</f>
        <v>18083051.875</v>
      </c>
      <c r="J34" s="1" t="s">
        <v>440</v>
      </c>
      <c r="L34" s="7">
        <f>$C19*'Phase I - Summary'!$H$14</f>
        <v>17052581.383198675</v>
      </c>
      <c r="N34" s="1" t="s">
        <v>440</v>
      </c>
      <c r="P34" s="7">
        <f ca="1">$C19*'Phase I - Summary'!$H$19</f>
        <v>831418.96415313589</v>
      </c>
      <c r="R34" s="1" t="s">
        <v>440</v>
      </c>
      <c r="T34" s="7">
        <f ca="1">$C19*'Phase I - Summary'!$H$20</f>
        <v>18015478.593330838</v>
      </c>
      <c r="X34" s="549">
        <f>SUM('Infrastructure Budget'!E17:E19)</f>
        <v>47781</v>
      </c>
      <c r="Y34" s="548">
        <f t="shared" si="3"/>
        <v>2.7898919041693938E-2</v>
      </c>
      <c r="Z34" t="s">
        <v>864</v>
      </c>
    </row>
    <row r="35" spans="2:26">
      <c r="B35" s="1" t="s">
        <v>653</v>
      </c>
      <c r="D35" s="392">
        <f>$D28*$D20</f>
        <v>30999517.5</v>
      </c>
      <c r="F35" s="1" t="s">
        <v>653</v>
      </c>
      <c r="H35" s="93">
        <f>$H28*$D20</f>
        <v>7749879.375</v>
      </c>
      <c r="J35" s="1" t="s">
        <v>653</v>
      </c>
      <c r="L35" s="7">
        <f>$C20*'Phase I - Summary'!$H$14</f>
        <v>7308249.1642280035</v>
      </c>
      <c r="N35" s="1" t="s">
        <v>653</v>
      </c>
      <c r="P35" s="7">
        <f ca="1">$C20*'Phase I - Summary'!$H$19</f>
        <v>356322.41320848686</v>
      </c>
      <c r="R35" s="1" t="s">
        <v>653</v>
      </c>
      <c r="T35" s="7">
        <f ca="1">$C20*'Phase I - Summary'!$H$20</f>
        <v>7720919.3971417882</v>
      </c>
      <c r="X35" s="549">
        <f>SUM(X29:X34)</f>
        <v>1712647</v>
      </c>
      <c r="Y35" s="548">
        <f>SUM(Y29:Y34)</f>
        <v>1</v>
      </c>
    </row>
    <row r="36" spans="2:26">
      <c r="B36" t="s">
        <v>439</v>
      </c>
      <c r="D36" s="392">
        <f>$D29*$D21</f>
        <v>61581505</v>
      </c>
      <c r="F36" t="s">
        <v>439</v>
      </c>
      <c r="H36" s="93">
        <f>$H29*$D21</f>
        <v>15395376.25</v>
      </c>
      <c r="J36" t="s">
        <v>439</v>
      </c>
      <c r="L36" s="7">
        <f>$C21*'Phase I - Summary'!$H$14</f>
        <v>13733303.887962513</v>
      </c>
      <c r="N36" t="s">
        <v>439</v>
      </c>
      <c r="P36" s="7">
        <f ca="1">$C21*'Phase I - Summary'!$H$19</f>
        <v>669583.62703842123</v>
      </c>
      <c r="R36" t="s">
        <v>439</v>
      </c>
      <c r="T36" s="7">
        <f ca="1">$C21*'Phase I - Summary'!$H$20</f>
        <v>14508773.578002825</v>
      </c>
    </row>
    <row r="37" spans="2:26">
      <c r="B37" t="s">
        <v>25</v>
      </c>
      <c r="D37" s="392">
        <f>$D30*$D22</f>
        <v>26138310</v>
      </c>
      <c r="F37" t="s">
        <v>25</v>
      </c>
      <c r="H37" s="93">
        <f>$H30*$D22</f>
        <v>6534577.5</v>
      </c>
      <c r="J37" t="s">
        <v>25</v>
      </c>
      <c r="L37" s="7">
        <f>$C22*'Phase I - Summary'!$H$14</f>
        <v>6535668.5646108082</v>
      </c>
      <c r="N37" t="s">
        <v>25</v>
      </c>
      <c r="P37" s="7">
        <f ca="1">$C22*'Phase I - Summary'!$H$19</f>
        <v>318654.32370202593</v>
      </c>
      <c r="R37" t="s">
        <v>25</v>
      </c>
      <c r="T37" s="7">
        <f ca="1">$C22*'Phase I - Summary'!$H$20</f>
        <v>6904713.9827674208</v>
      </c>
    </row>
    <row r="38" spans="2:26">
      <c r="B38" t="s">
        <v>26</v>
      </c>
      <c r="D38" s="392">
        <f>$D31*$D23</f>
        <v>0</v>
      </c>
      <c r="F38" t="s">
        <v>26</v>
      </c>
      <c r="H38" s="93">
        <f>$H31*$D23</f>
        <v>0</v>
      </c>
      <c r="J38" t="s">
        <v>26</v>
      </c>
      <c r="L38" s="7">
        <f>$C23*'Phase I - Summary'!$H$14</f>
        <v>0</v>
      </c>
      <c r="N38" t="s">
        <v>26</v>
      </c>
      <c r="P38" s="7">
        <f ca="1">$C23*'Phase I - Summary'!$H$19</f>
        <v>0</v>
      </c>
      <c r="R38" t="s">
        <v>26</v>
      </c>
      <c r="T38" s="7">
        <f ca="1">$C23*'Phase I - Summary'!$H$20</f>
        <v>0</v>
      </c>
    </row>
    <row r="39" spans="2:26">
      <c r="B39" s="4" t="s">
        <v>396</v>
      </c>
      <c r="C39" s="38"/>
      <c r="D39" s="234">
        <f>SUM(D34:D38)</f>
        <v>191051540</v>
      </c>
      <c r="F39" s="4" t="s">
        <v>397</v>
      </c>
      <c r="G39" s="38"/>
      <c r="H39" s="57">
        <f>SUM(H34:H38)</f>
        <v>47762885</v>
      </c>
      <c r="J39" s="4" t="s">
        <v>554</v>
      </c>
      <c r="K39" s="38"/>
      <c r="L39" s="57">
        <f>SUM(L34:L38)</f>
        <v>44629803</v>
      </c>
      <c r="N39" s="4" t="s">
        <v>554</v>
      </c>
      <c r="O39" s="38"/>
      <c r="P39" s="57">
        <f ca="1">SUM(P34:P38)</f>
        <v>2175979.3281020699</v>
      </c>
      <c r="R39" s="4" t="s">
        <v>554</v>
      </c>
      <c r="S39" s="38"/>
      <c r="T39" s="57">
        <f ca="1">SUM(T34:T38)</f>
        <v>47149885.551242873</v>
      </c>
    </row>
    <row r="41" spans="2:26" ht="14.4">
      <c r="B41" s="195" t="s">
        <v>544</v>
      </c>
      <c r="C41" s="196"/>
      <c r="D41" s="194" t="s">
        <v>442</v>
      </c>
    </row>
    <row r="42" spans="2:26" ht="13.8" thickBot="1">
      <c r="B42" s="1" t="s">
        <v>440</v>
      </c>
      <c r="C42" s="198">
        <f>D42/$D$47</f>
        <v>0.26840202154407622</v>
      </c>
      <c r="D42" s="390">
        <f>'Building Summary'!$T$14*(1-$F$43)</f>
        <v>446853.39999999997</v>
      </c>
      <c r="G42" s="2" t="s">
        <v>657</v>
      </c>
    </row>
    <row r="43" spans="2:26" ht="13.8" thickBot="1">
      <c r="B43" s="1" t="s">
        <v>653</v>
      </c>
      <c r="C43" s="198">
        <f>D43/$D$47</f>
        <v>0.1150294378046041</v>
      </c>
      <c r="D43" s="390">
        <f>'Building Summary'!$T$14*($F$43)</f>
        <v>191508.6</v>
      </c>
      <c r="F43" s="683">
        <v>0.3</v>
      </c>
      <c r="G43" s="1" t="s">
        <v>654</v>
      </c>
    </row>
    <row r="44" spans="2:26">
      <c r="B44" t="s">
        <v>439</v>
      </c>
      <c r="C44" s="198">
        <f>D44/$D$47</f>
        <v>0.40825027359559268</v>
      </c>
      <c r="D44" s="390">
        <f>'Building Summary'!T18</f>
        <v>679682</v>
      </c>
    </row>
    <row r="45" spans="2:26">
      <c r="B45" t="s">
        <v>25</v>
      </c>
      <c r="C45" s="684">
        <v>0.12559389164052845</v>
      </c>
      <c r="D45" s="390">
        <f>'Phase II - Summary'!$D$16*C45</f>
        <v>209097.00000000003</v>
      </c>
    </row>
    <row r="46" spans="2:26" ht="13.8" thickBot="1">
      <c r="B46" t="s">
        <v>26</v>
      </c>
      <c r="C46" s="684">
        <v>8.2724375415198573E-2</v>
      </c>
      <c r="D46" s="390">
        <f>'Phase II - Summary'!$D$16*C46</f>
        <v>137725</v>
      </c>
    </row>
    <row r="47" spans="2:26" ht="13.8" thickBot="1">
      <c r="B47" s="4" t="s">
        <v>542</v>
      </c>
      <c r="C47" s="39">
        <f>SUM(C42:C46)</f>
        <v>1</v>
      </c>
      <c r="D47" s="391">
        <f>SUM(D42:D46)</f>
        <v>1664866</v>
      </c>
      <c r="F47" s="209">
        <f>SUM(C42:C46)-C47</f>
        <v>0</v>
      </c>
      <c r="G47" s="1" t="s">
        <v>656</v>
      </c>
    </row>
    <row r="49" spans="2:20" ht="14.4">
      <c r="B49" s="195" t="s">
        <v>548</v>
      </c>
      <c r="C49" s="196"/>
      <c r="D49" s="194" t="s">
        <v>645</v>
      </c>
      <c r="F49" s="195" t="s">
        <v>547</v>
      </c>
      <c r="G49" s="196"/>
      <c r="H49" s="194"/>
      <c r="J49" s="94"/>
      <c r="K49" s="94"/>
      <c r="L49" s="94"/>
      <c r="M49" s="94"/>
    </row>
    <row r="50" spans="2:20">
      <c r="B50" s="1" t="s">
        <v>440</v>
      </c>
      <c r="D50" s="498">
        <f>D27*1.02</f>
        <v>178.5</v>
      </c>
      <c r="F50" s="1" t="s">
        <v>440</v>
      </c>
      <c r="H50" s="93">
        <f>D50*I50</f>
        <v>44.625</v>
      </c>
      <c r="I50" s="684">
        <v>0.25</v>
      </c>
      <c r="J50" s="95" t="s">
        <v>626</v>
      </c>
      <c r="K50" s="96"/>
      <c r="L50" s="96"/>
      <c r="M50" s="97"/>
    </row>
    <row r="51" spans="2:20">
      <c r="B51" s="1" t="s">
        <v>653</v>
      </c>
      <c r="D51" s="498">
        <f>D28*1.02</f>
        <v>178.5</v>
      </c>
      <c r="F51" s="1" t="s">
        <v>653</v>
      </c>
      <c r="H51" s="93">
        <f>D51*I51</f>
        <v>44.625</v>
      </c>
      <c r="I51" s="684">
        <v>0.25</v>
      </c>
      <c r="J51" s="95" t="s">
        <v>626</v>
      </c>
      <c r="K51" s="96"/>
      <c r="L51" s="96"/>
      <c r="M51" s="97"/>
    </row>
    <row r="52" spans="2:20">
      <c r="B52" t="s">
        <v>439</v>
      </c>
      <c r="D52" s="498">
        <f>D29*1.02</f>
        <v>188.70000000000002</v>
      </c>
      <c r="F52" t="s">
        <v>439</v>
      </c>
      <c r="H52" s="93">
        <f t="shared" ref="H52:H54" si="5">D52*I52</f>
        <v>47.175000000000004</v>
      </c>
      <c r="I52" s="684">
        <v>0.25</v>
      </c>
      <c r="J52" s="95" t="s">
        <v>626</v>
      </c>
      <c r="K52" s="96"/>
      <c r="L52" s="96"/>
      <c r="M52" s="97"/>
    </row>
    <row r="53" spans="2:20">
      <c r="B53" t="s">
        <v>25</v>
      </c>
      <c r="D53" s="498">
        <f>D30*1.02</f>
        <v>168.3</v>
      </c>
      <c r="F53" t="s">
        <v>25</v>
      </c>
      <c r="H53" s="93">
        <f t="shared" si="5"/>
        <v>42.075000000000003</v>
      </c>
      <c r="I53" s="684">
        <v>0.25</v>
      </c>
      <c r="J53" s="95" t="s">
        <v>626</v>
      </c>
      <c r="K53" s="96"/>
      <c r="L53" s="96"/>
      <c r="M53" s="97"/>
    </row>
    <row r="54" spans="2:20">
      <c r="B54" t="s">
        <v>26</v>
      </c>
      <c r="D54" s="498">
        <f>D31*1.02</f>
        <v>168.3</v>
      </c>
      <c r="F54" t="s">
        <v>26</v>
      </c>
      <c r="H54" s="93">
        <f t="shared" si="5"/>
        <v>42.075000000000003</v>
      </c>
      <c r="I54" s="684">
        <v>0.25</v>
      </c>
      <c r="J54" s="95" t="s">
        <v>626</v>
      </c>
      <c r="K54" s="96"/>
      <c r="L54" s="96"/>
      <c r="M54" s="97"/>
    </row>
    <row r="55" spans="2:20">
      <c r="I55" s="167"/>
      <c r="J55" s="95"/>
      <c r="K55" s="96"/>
      <c r="L55" s="96"/>
      <c r="M55" s="98"/>
    </row>
    <row r="56" spans="2:20" ht="14.4">
      <c r="B56" s="195" t="s">
        <v>640</v>
      </c>
      <c r="C56" s="196"/>
      <c r="D56" s="194"/>
      <c r="F56" s="195" t="s">
        <v>641</v>
      </c>
      <c r="G56" s="196"/>
      <c r="H56" s="194"/>
      <c r="J56" s="195" t="s">
        <v>642</v>
      </c>
      <c r="K56" s="196"/>
      <c r="L56" s="194"/>
      <c r="N56" s="195" t="s">
        <v>643</v>
      </c>
      <c r="O56" s="196"/>
      <c r="P56" s="194"/>
      <c r="R56" s="195" t="s">
        <v>644</v>
      </c>
      <c r="S56" s="196"/>
      <c r="T56" s="194"/>
    </row>
    <row r="57" spans="2:20">
      <c r="B57" s="1" t="s">
        <v>440</v>
      </c>
      <c r="D57" s="392">
        <f>$D50*$D42</f>
        <v>79763331.899999991</v>
      </c>
      <c r="F57" s="1" t="s">
        <v>440</v>
      </c>
      <c r="H57" s="93">
        <f>$H50*$D42</f>
        <v>19940832.974999998</v>
      </c>
      <c r="J57" s="1" t="s">
        <v>440</v>
      </c>
      <c r="L57" s="7">
        <f>$C42*'Phase II - Summary'!$H$14</f>
        <v>27926698.100452408</v>
      </c>
      <c r="N57" s="1" t="s">
        <v>440</v>
      </c>
      <c r="P57" s="7">
        <f ca="1">$C42*'Phase II - Summary'!$H$19</f>
        <v>1132095.5486279561</v>
      </c>
      <c r="R57" s="1" t="s">
        <v>440</v>
      </c>
      <c r="T57" s="7">
        <f ca="1">$C42*'Phase II - Summary'!$H$20</f>
        <v>35800088.816484936</v>
      </c>
    </row>
    <row r="58" spans="2:20">
      <c r="B58" s="1" t="s">
        <v>653</v>
      </c>
      <c r="D58" s="392">
        <f>$D51*$D43</f>
        <v>34184285.100000001</v>
      </c>
      <c r="F58" s="1" t="s">
        <v>653</v>
      </c>
      <c r="H58" s="93">
        <f>$H51*$D43</f>
        <v>8546071.2750000004</v>
      </c>
      <c r="J58" s="1" t="s">
        <v>653</v>
      </c>
      <c r="L58" s="7">
        <f>$C43*'Phase II - Summary'!$H$14</f>
        <v>11968584.900193891</v>
      </c>
      <c r="N58" s="1" t="s">
        <v>653</v>
      </c>
      <c r="P58" s="7">
        <f ca="1">$C43*'Phase II - Summary'!$H$19</f>
        <v>485183.80655483837</v>
      </c>
      <c r="R58" s="1" t="s">
        <v>653</v>
      </c>
      <c r="T58" s="7">
        <f ca="1">$C43*'Phase II - Summary'!$H$20</f>
        <v>15342895.207064973</v>
      </c>
    </row>
    <row r="59" spans="2:20">
      <c r="B59" t="s">
        <v>439</v>
      </c>
      <c r="D59" s="392">
        <f>$D52*$D44</f>
        <v>128255993.40000001</v>
      </c>
      <c r="F59" t="s">
        <v>439</v>
      </c>
      <c r="H59" s="93">
        <f>$H52*$D44</f>
        <v>32063998.350000001</v>
      </c>
      <c r="J59" t="s">
        <v>439</v>
      </c>
      <c r="L59" s="7">
        <f>$C44*'Phase II - Summary'!$H$14</f>
        <v>42477631.407328881</v>
      </c>
      <c r="N59" t="s">
        <v>439</v>
      </c>
      <c r="P59" s="7">
        <f ca="1">$C44*'Phase II - Summary'!$H$19</f>
        <v>1721962.8779428478</v>
      </c>
      <c r="R59" t="s">
        <v>439</v>
      </c>
      <c r="T59" s="7">
        <f ca="1">$C44*'Phase II - Summary'!$H$20</f>
        <v>54453375.462659821</v>
      </c>
    </row>
    <row r="60" spans="2:20">
      <c r="B60" t="s">
        <v>25</v>
      </c>
      <c r="D60" s="392">
        <f>$D53*$D45</f>
        <v>35191025.100000009</v>
      </c>
      <c r="F60" t="s">
        <v>25</v>
      </c>
      <c r="H60" s="93">
        <f>$H53*$D45</f>
        <v>8797756.2750000022</v>
      </c>
      <c r="J60" t="s">
        <v>25</v>
      </c>
      <c r="L60" s="7">
        <f>$C45*'Phase II - Summary'!$H$14</f>
        <v>13067795.372509861</v>
      </c>
      <c r="N60" t="s">
        <v>25</v>
      </c>
      <c r="P60" s="7">
        <f ca="1">$C45*'Phase II - Summary'!$H$19</f>
        <v>529743.72116550931</v>
      </c>
      <c r="R60" t="s">
        <v>25</v>
      </c>
      <c r="T60" s="7">
        <f ca="1">$C45*'Phase II - Summary'!$H$20</f>
        <v>16752006.74597206</v>
      </c>
    </row>
    <row r="61" spans="2:20">
      <c r="B61" t="s">
        <v>26</v>
      </c>
      <c r="D61" s="392">
        <f>$D54*$D46</f>
        <v>23179117.5</v>
      </c>
      <c r="F61" t="s">
        <v>26</v>
      </c>
      <c r="H61" s="93">
        <f>$H54*$D46</f>
        <v>5794779.375</v>
      </c>
      <c r="J61" t="s">
        <v>26</v>
      </c>
      <c r="L61" s="7">
        <f>$C46*'Phase II - Summary'!$H$14</f>
        <v>8607307.2195149623</v>
      </c>
      <c r="N61" t="s">
        <v>26</v>
      </c>
      <c r="P61" s="7">
        <f ca="1">$C46*'Phase II - Summary'!$H$19</f>
        <v>348923.96350746183</v>
      </c>
      <c r="R61" t="s">
        <v>26</v>
      </c>
      <c r="T61" s="7">
        <f ca="1">$C46*'Phase II - Summary'!$H$20</f>
        <v>11033970.497372039</v>
      </c>
    </row>
    <row r="62" spans="2:20">
      <c r="B62" s="4" t="s">
        <v>396</v>
      </c>
      <c r="C62" s="38"/>
      <c r="D62" s="234">
        <f>SUM(D57:D61)</f>
        <v>300573753</v>
      </c>
      <c r="F62" s="4" t="s">
        <v>397</v>
      </c>
      <c r="G62" s="38"/>
      <c r="H62" s="57">
        <f>SUM(H57:H61)</f>
        <v>75143438.25</v>
      </c>
      <c r="J62" s="4" t="s">
        <v>554</v>
      </c>
      <c r="K62" s="38"/>
      <c r="L62" s="57">
        <f>SUM(L57:L61)</f>
        <v>104048017.00000001</v>
      </c>
      <c r="N62" s="4" t="s">
        <v>554</v>
      </c>
      <c r="O62" s="38"/>
      <c r="P62" s="57">
        <f ca="1">SUM(P57:P61)</f>
        <v>4217909.9177986132</v>
      </c>
      <c r="R62" s="4" t="s">
        <v>554</v>
      </c>
      <c r="S62" s="38"/>
      <c r="T62" s="57">
        <f ca="1">SUM(T57:T61)</f>
        <v>133382336.72955382</v>
      </c>
    </row>
  </sheetData>
  <pageMargins left="0.7" right="0.7" top="0.75" bottom="0.75" header="0.3" footer="0.3"/>
  <pageSetup paperSize="3" scale="88" fitToWidth="0" orientation="landscape" r:id="rId1"/>
  <headerFooter>
    <oddHeader xml:space="preserve">&amp;L2019 ULI Hines Student Competition&amp;R2019-331 &amp;A 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FD355-A005-4C8B-9D4D-183F59E4B67F}">
  <sheetPr>
    <tabColor rgb="FF92D050"/>
    <pageSetUpPr fitToPage="1"/>
  </sheetPr>
  <dimension ref="A1:AE61"/>
  <sheetViews>
    <sheetView showGridLines="0" view="pageBreakPreview" zoomScale="80" zoomScaleNormal="100" zoomScaleSheetLayoutView="80" workbookViewId="0"/>
  </sheetViews>
  <sheetFormatPr defaultRowHeight="13.2"/>
  <cols>
    <col min="1" max="1" width="5" style="347" bestFit="1" customWidth="1"/>
    <col min="2" max="2" width="10.88671875" customWidth="1"/>
    <col min="3" max="3" width="12.77734375" bestFit="1" customWidth="1"/>
    <col min="4" max="4" width="11.33203125" customWidth="1"/>
    <col min="5" max="5" width="14.44140625" style="3" customWidth="1"/>
    <col min="6" max="6" width="14.6640625" customWidth="1"/>
    <col min="7" max="7" width="17.6640625" customWidth="1"/>
    <col min="8" max="8" width="13.5546875" customWidth="1"/>
    <col min="9" max="9" width="15.6640625" customWidth="1"/>
    <col min="10" max="10" width="13.88671875" customWidth="1"/>
    <col min="11" max="11" width="15.33203125" customWidth="1"/>
    <col min="12" max="12" width="12.33203125" customWidth="1"/>
    <col min="13" max="13" width="17.5546875" customWidth="1"/>
    <col min="14" max="14" width="21" customWidth="1"/>
    <col min="15" max="15" width="7.21875" style="427" customWidth="1"/>
    <col min="16" max="16" width="2.77734375" customWidth="1"/>
    <col min="17" max="17" width="2.5546875" customWidth="1"/>
    <col min="18" max="18" width="14" customWidth="1"/>
    <col min="19" max="19" width="12.77734375" bestFit="1" customWidth="1"/>
    <col min="20" max="20" width="9.6640625" bestFit="1" customWidth="1"/>
    <col min="21" max="21" width="14.44140625" customWidth="1"/>
    <col min="22" max="22" width="22.5546875" customWidth="1"/>
    <col min="23" max="23" width="12.77734375" bestFit="1" customWidth="1"/>
    <col min="24" max="24" width="14.44140625" bestFit="1" customWidth="1"/>
    <col min="25" max="25" width="13.33203125" customWidth="1"/>
    <col min="26" max="26" width="14" customWidth="1"/>
    <col min="27" max="27" width="10.77734375" bestFit="1" customWidth="1"/>
    <col min="28" max="28" width="19.44140625" bestFit="1" customWidth="1"/>
    <col min="29" max="29" width="10.77734375" bestFit="1" customWidth="1"/>
    <col min="30" max="30" width="14.88671875" bestFit="1" customWidth="1"/>
    <col min="31" max="31" width="10.77734375" bestFit="1" customWidth="1"/>
  </cols>
  <sheetData>
    <row r="1" spans="2:31">
      <c r="B1" s="202"/>
    </row>
    <row r="2" spans="2:31">
      <c r="B2" s="202"/>
    </row>
    <row r="3" spans="2:31">
      <c r="B3" s="202"/>
    </row>
    <row r="4" spans="2:31">
      <c r="B4" s="202"/>
    </row>
    <row r="5" spans="2:31">
      <c r="B5" s="202"/>
    </row>
    <row r="6" spans="2:31">
      <c r="B6" s="202"/>
    </row>
    <row r="7" spans="2:31">
      <c r="B7" s="202"/>
    </row>
    <row r="8" spans="2:31" ht="14.4">
      <c r="B8" s="410" t="s">
        <v>762</v>
      </c>
      <c r="C8" s="96"/>
      <c r="D8" s="337"/>
      <c r="E8" s="337"/>
      <c r="F8" s="94"/>
      <c r="G8" s="96"/>
      <c r="H8" s="337"/>
      <c r="I8" s="96"/>
      <c r="J8" s="96"/>
      <c r="K8" s="96"/>
      <c r="L8" s="96"/>
      <c r="M8" s="96"/>
      <c r="N8" s="96"/>
      <c r="O8" s="389"/>
      <c r="P8" s="96"/>
      <c r="Q8" s="96"/>
      <c r="R8" s="96"/>
      <c r="S8" s="96"/>
      <c r="T8" s="96"/>
    </row>
    <row r="9" spans="2:31" ht="14.4">
      <c r="B9" s="95"/>
      <c r="C9" s="335"/>
      <c r="D9" s="338"/>
      <c r="E9" s="337"/>
      <c r="F9" s="96"/>
      <c r="G9" s="96"/>
      <c r="H9" s="339"/>
      <c r="I9" s="96"/>
      <c r="J9" s="96"/>
      <c r="K9" s="96"/>
      <c r="L9" s="96"/>
      <c r="M9" s="96"/>
      <c r="N9" s="96"/>
      <c r="O9" s="389"/>
      <c r="P9" s="96"/>
      <c r="Q9" s="96"/>
      <c r="R9" s="96"/>
      <c r="S9" s="96"/>
      <c r="T9" s="96"/>
    </row>
    <row r="10" spans="2:31" ht="15">
      <c r="B10" s="343" t="s">
        <v>8</v>
      </c>
      <c r="C10" s="343"/>
      <c r="D10" s="674">
        <v>0.02</v>
      </c>
      <c r="E10" s="357"/>
      <c r="F10" s="343" t="s">
        <v>702</v>
      </c>
      <c r="G10" s="343"/>
      <c r="H10" s="673">
        <v>21.346399999999999</v>
      </c>
      <c r="I10" s="96"/>
      <c r="J10" s="96"/>
      <c r="K10" s="96"/>
      <c r="L10" s="96"/>
      <c r="M10" s="96"/>
      <c r="N10" s="96"/>
      <c r="O10" s="389"/>
      <c r="P10" s="96"/>
      <c r="Q10" s="96"/>
      <c r="R10" s="343" t="s">
        <v>8</v>
      </c>
      <c r="S10" s="343"/>
      <c r="T10" s="674">
        <v>0.02</v>
      </c>
      <c r="U10" s="357"/>
      <c r="V10" s="343" t="s">
        <v>702</v>
      </c>
      <c r="W10" s="343"/>
      <c r="X10" s="673">
        <v>21.346399999999999</v>
      </c>
      <c r="Y10" s="96"/>
      <c r="Z10" s="96"/>
      <c r="AA10" s="96"/>
      <c r="AB10" s="96"/>
      <c r="AC10" s="96"/>
      <c r="AD10" s="96"/>
      <c r="AE10" s="96"/>
    </row>
    <row r="11" spans="2:31" ht="15">
      <c r="B11" s="343" t="s">
        <v>723</v>
      </c>
      <c r="D11" s="676">
        <v>3</v>
      </c>
      <c r="F11" s="343" t="s">
        <v>724</v>
      </c>
      <c r="G11" s="343"/>
      <c r="H11" s="674">
        <v>0.35</v>
      </c>
      <c r="I11" s="96"/>
      <c r="J11" s="96"/>
      <c r="K11" s="96"/>
      <c r="L11" s="96"/>
      <c r="M11" s="96"/>
      <c r="N11" s="96"/>
      <c r="O11" s="389"/>
      <c r="P11" s="96"/>
      <c r="Q11" s="96"/>
      <c r="R11" s="343" t="s">
        <v>723</v>
      </c>
      <c r="T11" s="676">
        <v>3</v>
      </c>
      <c r="U11" s="3"/>
      <c r="V11" s="343" t="s">
        <v>724</v>
      </c>
      <c r="W11" s="343"/>
      <c r="X11" s="674">
        <v>0.35</v>
      </c>
      <c r="Y11" s="96"/>
      <c r="Z11" s="96"/>
      <c r="AA11" s="96"/>
      <c r="AB11" s="96"/>
      <c r="AC11" s="96"/>
      <c r="AD11" s="96"/>
      <c r="AE11" s="96"/>
    </row>
    <row r="12" spans="2:31" ht="15">
      <c r="B12" s="343" t="s">
        <v>704</v>
      </c>
      <c r="C12" s="343"/>
      <c r="D12" s="674">
        <v>0.25</v>
      </c>
      <c r="E12" s="358"/>
      <c r="F12" s="343" t="s">
        <v>708</v>
      </c>
      <c r="G12" s="343"/>
      <c r="H12" s="344">
        <f>'Phase I - Summary'!$D$29</f>
        <v>5.6000000000000001E-2</v>
      </c>
      <c r="I12" s="96"/>
      <c r="J12" s="336"/>
      <c r="K12" s="96"/>
      <c r="L12" s="96"/>
      <c r="M12" s="96"/>
      <c r="N12" s="96"/>
      <c r="O12" s="389"/>
      <c r="P12" s="96"/>
      <c r="Q12" s="96"/>
      <c r="R12" s="343" t="s">
        <v>704</v>
      </c>
      <c r="S12" s="343"/>
      <c r="T12" s="674">
        <v>0.25</v>
      </c>
      <c r="U12" s="358"/>
      <c r="V12" s="343" t="s">
        <v>708</v>
      </c>
      <c r="W12" s="343"/>
      <c r="X12" s="344">
        <f>'Phase I - Summary'!$D$29</f>
        <v>5.6000000000000001E-2</v>
      </c>
      <c r="Y12" s="96"/>
      <c r="Z12" s="336"/>
      <c r="AA12" s="96"/>
      <c r="AB12" s="96"/>
      <c r="AC12" s="96"/>
      <c r="AD12" s="96"/>
      <c r="AE12" s="96"/>
    </row>
    <row r="13" spans="2:31" ht="15">
      <c r="B13" s="343" t="s">
        <v>703</v>
      </c>
      <c r="C13" s="343"/>
      <c r="D13" s="677">
        <v>1.23</v>
      </c>
      <c r="E13" s="359"/>
      <c r="F13" s="343" t="s">
        <v>707</v>
      </c>
      <c r="H13" s="675">
        <v>0.04</v>
      </c>
      <c r="I13" s="96"/>
      <c r="J13" s="96"/>
      <c r="K13" s="96"/>
      <c r="L13" s="96"/>
      <c r="M13" s="96"/>
      <c r="N13" s="96"/>
      <c r="O13" s="389"/>
      <c r="P13" s="96"/>
      <c r="Q13" s="96"/>
      <c r="R13" s="343" t="s">
        <v>703</v>
      </c>
      <c r="S13" s="343"/>
      <c r="T13" s="677">
        <v>1.23</v>
      </c>
      <c r="U13" s="359"/>
      <c r="V13" s="343" t="s">
        <v>707</v>
      </c>
      <c r="X13" s="675">
        <v>0.06</v>
      </c>
      <c r="Y13" s="96"/>
      <c r="Z13" s="96"/>
      <c r="AA13" s="96"/>
      <c r="AB13" s="96"/>
      <c r="AC13" s="96"/>
      <c r="AD13" s="96"/>
      <c r="AE13" s="96"/>
    </row>
    <row r="14" spans="2:31" ht="15">
      <c r="B14" s="343" t="s">
        <v>540</v>
      </c>
      <c r="C14" s="343"/>
      <c r="D14" s="678">
        <v>30</v>
      </c>
      <c r="E14" s="360"/>
      <c r="F14" s="343" t="s">
        <v>706</v>
      </c>
      <c r="G14" s="343"/>
      <c r="H14" s="344">
        <f>SUM(H12:H13)</f>
        <v>9.6000000000000002E-2</v>
      </c>
      <c r="I14" s="96"/>
      <c r="J14" s="96"/>
      <c r="K14" s="96"/>
      <c r="L14" s="96"/>
      <c r="M14" s="96"/>
      <c r="N14" s="96"/>
      <c r="O14" s="389"/>
      <c r="P14" s="96"/>
      <c r="Q14" s="96"/>
      <c r="R14" s="343" t="s">
        <v>540</v>
      </c>
      <c r="S14" s="343"/>
      <c r="T14" s="678">
        <v>30</v>
      </c>
      <c r="U14" s="360"/>
      <c r="V14" s="343" t="s">
        <v>706</v>
      </c>
      <c r="W14" s="343"/>
      <c r="X14" s="344">
        <f>SUM(X12:X13)</f>
        <v>0.11599999999999999</v>
      </c>
      <c r="Y14" s="96"/>
      <c r="Z14" s="96"/>
      <c r="AA14" s="96"/>
      <c r="AB14" s="96"/>
      <c r="AC14" s="96"/>
      <c r="AD14" s="96"/>
      <c r="AE14" s="96"/>
    </row>
    <row r="15" spans="2:31" ht="15">
      <c r="B15" s="343" t="s">
        <v>460</v>
      </c>
      <c r="C15" s="343"/>
      <c r="D15" s="675">
        <v>0.05</v>
      </c>
      <c r="E15" s="361"/>
      <c r="I15" s="96"/>
      <c r="J15" s="96"/>
      <c r="K15" s="96"/>
      <c r="L15" s="96"/>
      <c r="M15" s="96"/>
      <c r="N15" s="96"/>
      <c r="O15" s="389"/>
      <c r="P15" s="96"/>
      <c r="Q15" s="96"/>
      <c r="R15" s="343" t="s">
        <v>460</v>
      </c>
      <c r="S15" s="343"/>
      <c r="T15" s="675">
        <v>0.05</v>
      </c>
      <c r="U15" s="361"/>
      <c r="Y15" s="96"/>
      <c r="Z15" s="96"/>
      <c r="AA15" s="96"/>
      <c r="AB15" s="96"/>
      <c r="AC15" s="96"/>
      <c r="AD15" s="96"/>
      <c r="AE15" s="96"/>
    </row>
    <row r="16" spans="2:31">
      <c r="E16" s="204"/>
      <c r="F16" s="96"/>
      <c r="G16" s="96"/>
      <c r="H16" s="96"/>
      <c r="I16" s="96"/>
      <c r="J16" s="96"/>
      <c r="K16" s="96"/>
      <c r="L16" s="96"/>
      <c r="M16" s="96"/>
      <c r="N16" s="96"/>
      <c r="O16" s="389"/>
      <c r="P16" s="96"/>
      <c r="Q16" s="96"/>
      <c r="U16" s="204"/>
      <c r="V16" s="96"/>
      <c r="W16" s="96"/>
      <c r="X16" s="96"/>
      <c r="Y16" s="96"/>
      <c r="Z16" s="96"/>
      <c r="AA16" s="96"/>
      <c r="AB16" s="96"/>
      <c r="AC16" s="96"/>
      <c r="AD16" s="96"/>
      <c r="AE16" s="96"/>
    </row>
    <row r="17" spans="1:31" ht="18">
      <c r="B17" s="350" t="s">
        <v>20</v>
      </c>
      <c r="C17" s="351"/>
      <c r="D17" s="352"/>
      <c r="E17" s="352"/>
      <c r="F17" s="351"/>
      <c r="G17" s="351"/>
      <c r="H17" s="351"/>
      <c r="I17" s="351"/>
      <c r="J17" s="351"/>
      <c r="K17" s="351"/>
      <c r="L17" s="351"/>
      <c r="M17" s="351"/>
      <c r="N17" s="351"/>
      <c r="O17" s="389"/>
      <c r="P17" s="96"/>
      <c r="Q17" s="96"/>
      <c r="R17" s="370" t="s">
        <v>445</v>
      </c>
      <c r="S17" s="371"/>
      <c r="T17" s="372"/>
      <c r="U17" s="372"/>
      <c r="V17" s="371"/>
      <c r="W17" s="371"/>
      <c r="X17" s="371"/>
      <c r="Y17" s="371"/>
      <c r="Z17" s="371"/>
      <c r="AA17" s="371"/>
      <c r="AB17" s="371"/>
      <c r="AC17" s="371"/>
      <c r="AD17" s="371"/>
      <c r="AE17" s="96"/>
    </row>
    <row r="18" spans="1:31" ht="15">
      <c r="B18" s="345" t="s">
        <v>392</v>
      </c>
      <c r="C18" s="335"/>
      <c r="D18" s="338"/>
      <c r="E18" s="204"/>
      <c r="F18" s="96"/>
      <c r="G18" s="337"/>
      <c r="H18" s="204">
        <f>'Official Summary Board'!$E$15</f>
        <v>2020</v>
      </c>
      <c r="I18" s="96"/>
      <c r="J18" s="96"/>
      <c r="K18" s="96"/>
      <c r="L18" s="96"/>
      <c r="M18" s="96"/>
      <c r="N18" s="96"/>
      <c r="O18" s="389"/>
      <c r="P18" s="96"/>
      <c r="Q18" s="96"/>
      <c r="R18" s="345" t="s">
        <v>392</v>
      </c>
      <c r="S18" s="335"/>
      <c r="T18" s="338"/>
      <c r="U18" s="204"/>
      <c r="V18" s="96"/>
      <c r="W18" s="337"/>
      <c r="X18" s="204">
        <f>'Official Summary Board'!$E$15</f>
        <v>2020</v>
      </c>
      <c r="Y18" s="96"/>
      <c r="Z18" s="96"/>
      <c r="AA18" s="96"/>
      <c r="AB18" s="96"/>
      <c r="AC18" s="96"/>
      <c r="AD18" s="96"/>
      <c r="AE18" s="96"/>
    </row>
    <row r="19" spans="1:31" ht="15">
      <c r="B19" s="345" t="s">
        <v>709</v>
      </c>
      <c r="C19" s="335"/>
      <c r="D19" s="338"/>
      <c r="E19" s="204"/>
      <c r="F19" s="341"/>
      <c r="G19" s="95"/>
      <c r="H19" s="204">
        <f>'Official Summary Board'!J15</f>
        <v>2025</v>
      </c>
      <c r="I19" s="96"/>
      <c r="J19" s="96"/>
      <c r="K19" s="96"/>
      <c r="L19" s="96"/>
      <c r="M19" s="96"/>
      <c r="N19" s="96"/>
      <c r="O19" s="389"/>
      <c r="P19" s="96"/>
      <c r="Q19" s="96"/>
      <c r="R19" s="345" t="s">
        <v>709</v>
      </c>
      <c r="S19" s="335"/>
      <c r="T19" s="338"/>
      <c r="U19" s="204"/>
      <c r="V19" s="341"/>
      <c r="W19" s="95"/>
      <c r="X19" s="204">
        <f>'Official Summary Board'!M15</f>
        <v>2028</v>
      </c>
      <c r="Y19" s="96"/>
      <c r="Z19" s="96"/>
      <c r="AA19" s="96"/>
      <c r="AB19" s="96"/>
      <c r="AC19" s="96"/>
      <c r="AD19" s="96"/>
      <c r="AE19" s="96"/>
    </row>
    <row r="20" spans="1:31" ht="15">
      <c r="B20" s="345" t="s">
        <v>710</v>
      </c>
      <c r="C20" s="341"/>
      <c r="D20" s="338"/>
      <c r="E20" s="204"/>
      <c r="F20" s="96"/>
      <c r="G20" s="96"/>
      <c r="H20" s="98">
        <f ca="1">'Phase I - Summary'!J49</f>
        <v>466266528.953044</v>
      </c>
      <c r="I20" s="96"/>
      <c r="J20" s="96"/>
      <c r="K20" s="96"/>
      <c r="L20" s="96"/>
      <c r="M20" s="96"/>
      <c r="N20" s="96"/>
      <c r="O20" s="389"/>
      <c r="P20" s="96"/>
      <c r="Q20" s="96"/>
      <c r="R20" s="345" t="s">
        <v>710</v>
      </c>
      <c r="S20" s="341"/>
      <c r="T20" s="338"/>
      <c r="U20" s="204"/>
      <c r="V20" s="96"/>
      <c r="W20" s="96"/>
      <c r="X20" s="98">
        <f ca="1">'Phase II - Summary'!J48</f>
        <v>876819635.59346843</v>
      </c>
      <c r="Y20" s="96"/>
      <c r="Z20" s="96"/>
      <c r="AA20" s="96"/>
      <c r="AB20" s="96"/>
      <c r="AC20" s="96"/>
      <c r="AD20" s="96"/>
      <c r="AE20" s="96"/>
    </row>
    <row r="21" spans="1:31">
      <c r="B21" s="96"/>
      <c r="C21" s="341"/>
      <c r="D21" s="338"/>
      <c r="E21" s="204"/>
      <c r="F21" s="96"/>
      <c r="G21" s="96"/>
      <c r="H21" s="96"/>
      <c r="I21" s="96"/>
      <c r="J21" s="96"/>
      <c r="K21" s="96"/>
      <c r="L21" s="96"/>
      <c r="M21" s="96"/>
      <c r="N21" s="96"/>
      <c r="O21" s="389"/>
      <c r="P21" s="96"/>
      <c r="Q21" s="96"/>
      <c r="R21" s="96"/>
      <c r="S21" s="341"/>
      <c r="T21" s="338"/>
      <c r="U21" s="204"/>
      <c r="V21" s="96"/>
      <c r="W21" s="96"/>
      <c r="X21" s="96"/>
      <c r="Y21" s="96"/>
      <c r="Z21" s="96"/>
      <c r="AA21" s="96"/>
      <c r="AB21" s="96"/>
      <c r="AC21" s="96"/>
      <c r="AD21" s="96"/>
      <c r="AE21" s="96"/>
    </row>
    <row r="22" spans="1:31" s="202" customFormat="1" ht="48" customHeight="1" thickBot="1">
      <c r="B22" s="346" t="s">
        <v>711</v>
      </c>
      <c r="C22" s="346" t="s">
        <v>712</v>
      </c>
      <c r="D22" s="346" t="s">
        <v>8</v>
      </c>
      <c r="E22" s="346" t="s">
        <v>713</v>
      </c>
      <c r="F22" s="346" t="s">
        <v>724</v>
      </c>
      <c r="G22" s="346" t="s">
        <v>714</v>
      </c>
      <c r="H22" s="346" t="s">
        <v>702</v>
      </c>
      <c r="I22" s="346" t="s">
        <v>715</v>
      </c>
      <c r="J22" s="346" t="s">
        <v>704</v>
      </c>
      <c r="K22" s="346" t="s">
        <v>716</v>
      </c>
      <c r="L22" s="346" t="s">
        <v>717</v>
      </c>
      <c r="M22" s="346" t="s">
        <v>718</v>
      </c>
      <c r="N22" s="346" t="s">
        <v>719</v>
      </c>
      <c r="O22" s="428"/>
      <c r="P22" s="348"/>
      <c r="Q22" s="348"/>
      <c r="R22" s="346" t="s">
        <v>711</v>
      </c>
      <c r="S22" s="346" t="s">
        <v>712</v>
      </c>
      <c r="T22" s="346" t="s">
        <v>8</v>
      </c>
      <c r="U22" s="346" t="s">
        <v>713</v>
      </c>
      <c r="V22" s="346" t="s">
        <v>724</v>
      </c>
      <c r="W22" s="346" t="s">
        <v>714</v>
      </c>
      <c r="X22" s="346" t="s">
        <v>702</v>
      </c>
      <c r="Y22" s="346" t="s">
        <v>715</v>
      </c>
      <c r="Z22" s="346" t="s">
        <v>704</v>
      </c>
      <c r="AA22" s="346" t="s">
        <v>716</v>
      </c>
      <c r="AB22" s="346" t="s">
        <v>717</v>
      </c>
      <c r="AC22" s="346" t="s">
        <v>718</v>
      </c>
      <c r="AD22" s="346" t="s">
        <v>719</v>
      </c>
    </row>
    <row r="23" spans="1:31" ht="14.4">
      <c r="A23" s="679">
        <v>0</v>
      </c>
      <c r="B23" s="680">
        <v>0</v>
      </c>
      <c r="C23" s="98">
        <f>'Phase I - Summary'!H14</f>
        <v>44629803</v>
      </c>
      <c r="D23" s="681">
        <v>1</v>
      </c>
      <c r="E23" s="682">
        <v>0</v>
      </c>
      <c r="F23" s="354">
        <f t="shared" ref="F23:F53" si="0">$H$11</f>
        <v>0.35</v>
      </c>
      <c r="G23" s="682">
        <v>0</v>
      </c>
      <c r="H23" s="355">
        <f>$H$10</f>
        <v>21.346399999999999</v>
      </c>
      <c r="I23" s="682">
        <v>0</v>
      </c>
      <c r="J23" s="353">
        <f>$D$12</f>
        <v>0.25</v>
      </c>
      <c r="K23" s="365">
        <f>H23*F23*C23/1000</f>
        <v>333439.96936572</v>
      </c>
      <c r="L23" s="98">
        <f>SUM(K23,I23)</f>
        <v>333439.96936572</v>
      </c>
      <c r="M23" s="366">
        <f>I23*(1-J23)</f>
        <v>0</v>
      </c>
      <c r="N23" s="366">
        <f>M23/$D$13</f>
        <v>0</v>
      </c>
      <c r="O23" s="429" t="str">
        <f t="shared" ref="O23:O53" si="1">IF(N23=0,"",N23)</f>
        <v/>
      </c>
      <c r="P23" s="96"/>
      <c r="Q23" s="96"/>
      <c r="R23" s="680">
        <v>0</v>
      </c>
      <c r="S23" s="98">
        <f>'Phase I - Summary'!X14</f>
        <v>0</v>
      </c>
      <c r="T23" s="681">
        <v>1</v>
      </c>
      <c r="U23" s="682">
        <v>0</v>
      </c>
      <c r="V23" s="354">
        <f t="shared" ref="V23:V53" si="2">$H$11</f>
        <v>0.35</v>
      </c>
      <c r="W23" s="682">
        <v>0</v>
      </c>
      <c r="X23" s="355">
        <f>$H$10</f>
        <v>21.346399999999999</v>
      </c>
      <c r="Y23" s="682">
        <v>0</v>
      </c>
      <c r="Z23" s="353">
        <f>$D$12</f>
        <v>0.25</v>
      </c>
      <c r="AA23" s="365">
        <f>X23*V23*S23/1000</f>
        <v>0</v>
      </c>
      <c r="AB23" s="98">
        <f>SUM(AA23,Y23)</f>
        <v>0</v>
      </c>
      <c r="AC23" s="366">
        <f>Y23*(1-Z23)</f>
        <v>0</v>
      </c>
      <c r="AD23" s="366">
        <f>AC23/$D$13</f>
        <v>0</v>
      </c>
      <c r="AE23" s="366" t="str">
        <f t="shared" ref="AE23:AE53" si="3">IF(AD23=0,"",AD23)</f>
        <v/>
      </c>
    </row>
    <row r="24" spans="1:31" ht="14.4">
      <c r="A24" s="362">
        <f>MOD(A23+1,$D$11)</f>
        <v>1</v>
      </c>
      <c r="B24" s="349">
        <f t="shared" ref="B24:B53" si="4">B23+1</f>
        <v>1</v>
      </c>
      <c r="C24" s="98">
        <f>C23*D24</f>
        <v>44629803</v>
      </c>
      <c r="D24" s="356">
        <f>D23*(1+IF($A24=0,$D$10,0))</f>
        <v>1</v>
      </c>
      <c r="E24" s="682">
        <v>0</v>
      </c>
      <c r="F24" s="354">
        <f t="shared" si="0"/>
        <v>0.35</v>
      </c>
      <c r="G24" s="682">
        <v>0</v>
      </c>
      <c r="H24" s="355">
        <f t="shared" ref="H24:H53" si="5">$H$10</f>
        <v>21.346399999999999</v>
      </c>
      <c r="I24" s="682">
        <v>0</v>
      </c>
      <c r="J24" s="353">
        <f t="shared" ref="J24:J53" si="6">$D$12</f>
        <v>0.25</v>
      </c>
      <c r="K24" s="365">
        <f t="shared" ref="K24:K53" si="7">H24*F24*C24/1000</f>
        <v>333439.96936572</v>
      </c>
      <c r="L24" s="98">
        <f t="shared" ref="L24:L53" si="8">SUM(K24,I24)</f>
        <v>333439.96936572</v>
      </c>
      <c r="M24" s="366">
        <f t="shared" ref="M24:M53" si="9">I24*(1-J24)</f>
        <v>0</v>
      </c>
      <c r="N24" s="366">
        <f t="shared" ref="N24:N53" si="10">M24/$D$13</f>
        <v>0</v>
      </c>
      <c r="O24" s="429" t="str">
        <f t="shared" si="1"/>
        <v/>
      </c>
      <c r="P24" s="96"/>
      <c r="Q24" s="96"/>
      <c r="R24" s="349">
        <f t="shared" ref="R24:R53" si="11">R23+1</f>
        <v>1</v>
      </c>
      <c r="S24" s="98">
        <f>S23*T24</f>
        <v>0</v>
      </c>
      <c r="T24" s="356">
        <f>T23*(1+IF($A24=0,$D$10,0))</f>
        <v>1</v>
      </c>
      <c r="U24" s="682">
        <v>0</v>
      </c>
      <c r="V24" s="354">
        <f t="shared" si="2"/>
        <v>0.35</v>
      </c>
      <c r="W24" s="682">
        <v>0</v>
      </c>
      <c r="X24" s="355">
        <f t="shared" ref="X24:X53" si="12">$H$10</f>
        <v>21.346399999999999</v>
      </c>
      <c r="Y24" s="682">
        <v>0</v>
      </c>
      <c r="Z24" s="353">
        <f t="shared" ref="Z24:Z53" si="13">$D$12</f>
        <v>0.25</v>
      </c>
      <c r="AA24" s="365">
        <f t="shared" ref="AA24:AA53" si="14">X24*V24*S24/1000</f>
        <v>0</v>
      </c>
      <c r="AB24" s="98">
        <f t="shared" ref="AB24:AB53" si="15">SUM(AA24,Y24)</f>
        <v>0</v>
      </c>
      <c r="AC24" s="366">
        <f t="shared" ref="AC24:AC53" si="16">Y24*(1-Z24)</f>
        <v>0</v>
      </c>
      <c r="AD24" s="366">
        <f t="shared" ref="AD24:AD53" si="17">AC24/$D$13</f>
        <v>0</v>
      </c>
      <c r="AE24" s="366" t="str">
        <f t="shared" si="3"/>
        <v/>
      </c>
    </row>
    <row r="25" spans="1:31" ht="14.4">
      <c r="A25" s="362">
        <f t="shared" ref="A25:A53" si="18">MOD(A24+1,$D$11)</f>
        <v>2</v>
      </c>
      <c r="B25" s="349">
        <f t="shared" si="4"/>
        <v>2</v>
      </c>
      <c r="C25" s="98">
        <f t="shared" ref="C25:C53" si="19">C24*D25</f>
        <v>44629803</v>
      </c>
      <c r="D25" s="356">
        <f t="shared" ref="D25:D53" si="20">D24*(1+IF($A25=0,$D$10,0))</f>
        <v>1</v>
      </c>
      <c r="E25" s="682">
        <v>0</v>
      </c>
      <c r="F25" s="354">
        <f t="shared" si="0"/>
        <v>0.35</v>
      </c>
      <c r="G25" s="682">
        <v>0</v>
      </c>
      <c r="H25" s="355">
        <f t="shared" si="5"/>
        <v>21.346399999999999</v>
      </c>
      <c r="I25" s="682">
        <v>0</v>
      </c>
      <c r="J25" s="353">
        <f t="shared" si="6"/>
        <v>0.25</v>
      </c>
      <c r="K25" s="365">
        <f t="shared" si="7"/>
        <v>333439.96936572</v>
      </c>
      <c r="L25" s="98">
        <f t="shared" si="8"/>
        <v>333439.96936572</v>
      </c>
      <c r="M25" s="366">
        <f t="shared" si="9"/>
        <v>0</v>
      </c>
      <c r="N25" s="366">
        <f t="shared" si="10"/>
        <v>0</v>
      </c>
      <c r="O25" s="429" t="str">
        <f t="shared" si="1"/>
        <v/>
      </c>
      <c r="P25" s="96"/>
      <c r="Q25" s="96"/>
      <c r="R25" s="349">
        <f t="shared" si="11"/>
        <v>2</v>
      </c>
      <c r="S25" s="98">
        <f t="shared" ref="S25:S53" si="21">S24*T25</f>
        <v>0</v>
      </c>
      <c r="T25" s="356">
        <f t="shared" ref="T25:T53" si="22">T24*(1+IF($A25=0,$D$10,0))</f>
        <v>1</v>
      </c>
      <c r="U25" s="682">
        <v>0</v>
      </c>
      <c r="V25" s="354">
        <f t="shared" si="2"/>
        <v>0.35</v>
      </c>
      <c r="W25" s="682">
        <v>0</v>
      </c>
      <c r="X25" s="355">
        <f t="shared" si="12"/>
        <v>21.346399999999999</v>
      </c>
      <c r="Y25" s="682">
        <v>0</v>
      </c>
      <c r="Z25" s="353">
        <f t="shared" si="13"/>
        <v>0.25</v>
      </c>
      <c r="AA25" s="365">
        <f t="shared" si="14"/>
        <v>0</v>
      </c>
      <c r="AB25" s="98">
        <f t="shared" si="15"/>
        <v>0</v>
      </c>
      <c r="AC25" s="366">
        <f t="shared" si="16"/>
        <v>0</v>
      </c>
      <c r="AD25" s="366">
        <f t="shared" si="17"/>
        <v>0</v>
      </c>
      <c r="AE25" s="366" t="str">
        <f t="shared" si="3"/>
        <v/>
      </c>
    </row>
    <row r="26" spans="1:31" ht="14.4">
      <c r="A26" s="362">
        <f t="shared" si="18"/>
        <v>0</v>
      </c>
      <c r="B26" s="349">
        <f t="shared" si="4"/>
        <v>3</v>
      </c>
      <c r="C26" s="98">
        <f t="shared" si="19"/>
        <v>45522399.060000002</v>
      </c>
      <c r="D26" s="356">
        <f t="shared" si="20"/>
        <v>1.02</v>
      </c>
      <c r="E26" s="364">
        <f ca="1">D26*$H$20</f>
        <v>475591859.53210491</v>
      </c>
      <c r="F26" s="354">
        <f t="shared" si="0"/>
        <v>0.35</v>
      </c>
      <c r="G26" s="365">
        <f ca="1">E26*F26</f>
        <v>166457150.83623672</v>
      </c>
      <c r="H26" s="355">
        <f t="shared" si="5"/>
        <v>21.346399999999999</v>
      </c>
      <c r="I26" s="364">
        <f ca="1">MAX(H26*G26/1000-K26,0)</f>
        <v>3213152.1558576087</v>
      </c>
      <c r="J26" s="353">
        <f t="shared" si="6"/>
        <v>0.25</v>
      </c>
      <c r="K26" s="365">
        <f t="shared" si="7"/>
        <v>340108.76875303435</v>
      </c>
      <c r="L26" s="98">
        <f t="shared" ca="1" si="8"/>
        <v>3553260.9246106432</v>
      </c>
      <c r="M26" s="366">
        <f t="shared" ca="1" si="9"/>
        <v>2409864.1168932067</v>
      </c>
      <c r="N26" s="366">
        <f t="shared" ca="1" si="10"/>
        <v>1959239.1194253713</v>
      </c>
      <c r="O26" s="429">
        <f t="shared" ca="1" si="1"/>
        <v>1959239.1194253713</v>
      </c>
      <c r="P26" s="96"/>
      <c r="Q26" s="96"/>
      <c r="R26" s="349">
        <f t="shared" si="11"/>
        <v>3</v>
      </c>
      <c r="S26" s="98">
        <f t="shared" si="21"/>
        <v>0</v>
      </c>
      <c r="T26" s="356">
        <f t="shared" si="22"/>
        <v>1.02</v>
      </c>
      <c r="U26" s="364">
        <f ca="1">T26*$H$20</f>
        <v>475591859.53210491</v>
      </c>
      <c r="V26" s="354">
        <f t="shared" si="2"/>
        <v>0.35</v>
      </c>
      <c r="W26" s="365">
        <f ca="1">U26*V26</f>
        <v>166457150.83623672</v>
      </c>
      <c r="X26" s="355">
        <f t="shared" si="12"/>
        <v>21.346399999999999</v>
      </c>
      <c r="Y26" s="364">
        <f ca="1">MAX(X26*W26/1000-AA26,0)</f>
        <v>3553260.9246106432</v>
      </c>
      <c r="Z26" s="353">
        <f t="shared" si="13"/>
        <v>0.25</v>
      </c>
      <c r="AA26" s="365">
        <f t="shared" si="14"/>
        <v>0</v>
      </c>
      <c r="AB26" s="98">
        <f t="shared" ca="1" si="15"/>
        <v>3553260.9246106432</v>
      </c>
      <c r="AC26" s="366">
        <f t="shared" ca="1" si="16"/>
        <v>2664945.6934579825</v>
      </c>
      <c r="AD26" s="366">
        <f t="shared" ca="1" si="17"/>
        <v>2166622.5150064901</v>
      </c>
      <c r="AE26" s="366">
        <f t="shared" ca="1" si="3"/>
        <v>2166622.5150064901</v>
      </c>
    </row>
    <row r="27" spans="1:31" ht="14.4">
      <c r="A27" s="362">
        <f t="shared" si="18"/>
        <v>1</v>
      </c>
      <c r="B27" s="349">
        <f t="shared" si="4"/>
        <v>4</v>
      </c>
      <c r="C27" s="98">
        <f t="shared" si="19"/>
        <v>46432847.041200005</v>
      </c>
      <c r="D27" s="356">
        <f t="shared" si="20"/>
        <v>1.02</v>
      </c>
      <c r="E27" s="364">
        <f t="shared" ref="E27:E53" ca="1" si="23">D27*$H$20</f>
        <v>475591859.53210491</v>
      </c>
      <c r="F27" s="354">
        <f t="shared" si="0"/>
        <v>0.35</v>
      </c>
      <c r="G27" s="365">
        <f t="shared" ref="G27:G53" ca="1" si="24">E27*F27</f>
        <v>166457150.83623672</v>
      </c>
      <c r="H27" s="355">
        <f t="shared" si="5"/>
        <v>21.346399999999999</v>
      </c>
      <c r="I27" s="364">
        <f t="shared" ref="I27:I53" ca="1" si="25">MAX(H27*G27/1000-K27,0)</f>
        <v>3206349.980482548</v>
      </c>
      <c r="J27" s="353">
        <f t="shared" si="6"/>
        <v>0.25</v>
      </c>
      <c r="K27" s="365">
        <f t="shared" si="7"/>
        <v>346910.94412809511</v>
      </c>
      <c r="L27" s="98">
        <f t="shared" ca="1" si="8"/>
        <v>3553260.9246106432</v>
      </c>
      <c r="M27" s="366">
        <f t="shared" ca="1" si="9"/>
        <v>2404762.4853619109</v>
      </c>
      <c r="N27" s="366">
        <f t="shared" ca="1" si="10"/>
        <v>1955091.4515137486</v>
      </c>
      <c r="O27" s="429">
        <f t="shared" ca="1" si="1"/>
        <v>1955091.4515137486</v>
      </c>
      <c r="P27" s="96"/>
      <c r="Q27" s="96"/>
      <c r="R27" s="349">
        <f t="shared" si="11"/>
        <v>4</v>
      </c>
      <c r="S27" s="98">
        <f t="shared" si="21"/>
        <v>0</v>
      </c>
      <c r="T27" s="356">
        <f t="shared" si="22"/>
        <v>1.02</v>
      </c>
      <c r="U27" s="364">
        <f t="shared" ref="U27:U53" ca="1" si="26">T27*$H$20</f>
        <v>475591859.53210491</v>
      </c>
      <c r="V27" s="354">
        <f t="shared" si="2"/>
        <v>0.35</v>
      </c>
      <c r="W27" s="365">
        <f t="shared" ref="W27:W53" ca="1" si="27">U27*V27</f>
        <v>166457150.83623672</v>
      </c>
      <c r="X27" s="355">
        <f t="shared" si="12"/>
        <v>21.346399999999999</v>
      </c>
      <c r="Y27" s="364">
        <f t="shared" ref="Y27:Y53" ca="1" si="28">MAX(X27*W27/1000-AA27,0)</f>
        <v>3553260.9246106432</v>
      </c>
      <c r="Z27" s="353">
        <f t="shared" si="13"/>
        <v>0.25</v>
      </c>
      <c r="AA27" s="365">
        <f t="shared" si="14"/>
        <v>0</v>
      </c>
      <c r="AB27" s="98">
        <f t="shared" ca="1" si="15"/>
        <v>3553260.9246106432</v>
      </c>
      <c r="AC27" s="366">
        <f t="shared" ca="1" si="16"/>
        <v>2664945.6934579825</v>
      </c>
      <c r="AD27" s="366">
        <f t="shared" ca="1" si="17"/>
        <v>2166622.5150064901</v>
      </c>
      <c r="AE27" s="366">
        <f t="shared" ca="1" si="3"/>
        <v>2166622.5150064901</v>
      </c>
    </row>
    <row r="28" spans="1:31" ht="14.4">
      <c r="A28" s="362">
        <f t="shared" si="18"/>
        <v>2</v>
      </c>
      <c r="B28" s="349">
        <f t="shared" si="4"/>
        <v>5</v>
      </c>
      <c r="C28" s="98">
        <f t="shared" si="19"/>
        <v>47361503.982024007</v>
      </c>
      <c r="D28" s="356">
        <f t="shared" si="20"/>
        <v>1.02</v>
      </c>
      <c r="E28" s="364">
        <f t="shared" ca="1" si="23"/>
        <v>475591859.53210491</v>
      </c>
      <c r="F28" s="354">
        <f t="shared" si="0"/>
        <v>0.35</v>
      </c>
      <c r="G28" s="365">
        <f t="shared" ca="1" si="24"/>
        <v>166457150.83623672</v>
      </c>
      <c r="H28" s="355">
        <f t="shared" si="5"/>
        <v>21.346399999999999</v>
      </c>
      <c r="I28" s="364">
        <f t="shared" ca="1" si="25"/>
        <v>3199411.7615999863</v>
      </c>
      <c r="J28" s="353">
        <f t="shared" si="6"/>
        <v>0.25</v>
      </c>
      <c r="K28" s="365">
        <f t="shared" si="7"/>
        <v>353849.16301065701</v>
      </c>
      <c r="L28" s="98">
        <f t="shared" ca="1" si="8"/>
        <v>3553260.9246106432</v>
      </c>
      <c r="M28" s="366">
        <f t="shared" ca="1" si="9"/>
        <v>2399558.8211999899</v>
      </c>
      <c r="N28" s="366">
        <f t="shared" ca="1" si="10"/>
        <v>1950860.8302438941</v>
      </c>
      <c r="O28" s="429">
        <f t="shared" ca="1" si="1"/>
        <v>1950860.8302438941</v>
      </c>
      <c r="P28" s="96"/>
      <c r="Q28" s="96"/>
      <c r="R28" s="349">
        <f t="shared" si="11"/>
        <v>5</v>
      </c>
      <c r="S28" s="98">
        <f t="shared" si="21"/>
        <v>0</v>
      </c>
      <c r="T28" s="356">
        <f t="shared" si="22"/>
        <v>1.02</v>
      </c>
      <c r="U28" s="364">
        <f t="shared" ca="1" si="26"/>
        <v>475591859.53210491</v>
      </c>
      <c r="V28" s="354">
        <f t="shared" si="2"/>
        <v>0.35</v>
      </c>
      <c r="W28" s="365">
        <f t="shared" ca="1" si="27"/>
        <v>166457150.83623672</v>
      </c>
      <c r="X28" s="355">
        <f t="shared" si="12"/>
        <v>21.346399999999999</v>
      </c>
      <c r="Y28" s="364">
        <f t="shared" ca="1" si="28"/>
        <v>3553260.9246106432</v>
      </c>
      <c r="Z28" s="353">
        <f t="shared" si="13"/>
        <v>0.25</v>
      </c>
      <c r="AA28" s="365">
        <f t="shared" si="14"/>
        <v>0</v>
      </c>
      <c r="AB28" s="98">
        <f t="shared" ca="1" si="15"/>
        <v>3553260.9246106432</v>
      </c>
      <c r="AC28" s="366">
        <f t="shared" ca="1" si="16"/>
        <v>2664945.6934579825</v>
      </c>
      <c r="AD28" s="366">
        <f t="shared" ca="1" si="17"/>
        <v>2166622.5150064901</v>
      </c>
      <c r="AE28" s="366">
        <f t="shared" ca="1" si="3"/>
        <v>2166622.5150064901</v>
      </c>
    </row>
    <row r="29" spans="1:31" ht="14.4">
      <c r="A29" s="362">
        <f t="shared" si="18"/>
        <v>0</v>
      </c>
      <c r="B29" s="349">
        <f t="shared" si="4"/>
        <v>6</v>
      </c>
      <c r="C29" s="98">
        <f t="shared" si="19"/>
        <v>49274908.742897779</v>
      </c>
      <c r="D29" s="356">
        <f t="shared" si="20"/>
        <v>1.0404</v>
      </c>
      <c r="E29" s="364">
        <f t="shared" ca="1" si="23"/>
        <v>485103696.72274697</v>
      </c>
      <c r="F29" s="354">
        <f t="shared" si="0"/>
        <v>0.35</v>
      </c>
      <c r="G29" s="365">
        <f t="shared" ca="1" si="24"/>
        <v>169786293.85296142</v>
      </c>
      <c r="H29" s="355">
        <f t="shared" si="5"/>
        <v>21.346399999999999</v>
      </c>
      <c r="I29" s="364">
        <f t="shared" ca="1" si="25"/>
        <v>3256181.4739065683</v>
      </c>
      <c r="J29" s="353">
        <f t="shared" si="6"/>
        <v>0.25</v>
      </c>
      <c r="K29" s="365">
        <f t="shared" si="7"/>
        <v>368144.66919628758</v>
      </c>
      <c r="L29" s="98">
        <f t="shared" ca="1" si="8"/>
        <v>3624326.1431028559</v>
      </c>
      <c r="M29" s="366">
        <f t="shared" ca="1" si="9"/>
        <v>2442136.105429926</v>
      </c>
      <c r="N29" s="366">
        <f t="shared" ca="1" si="10"/>
        <v>1985476.5084796147</v>
      </c>
      <c r="O29" s="429">
        <f t="shared" ca="1" si="1"/>
        <v>1985476.5084796147</v>
      </c>
      <c r="P29" s="96"/>
      <c r="Q29" s="96"/>
      <c r="R29" s="349">
        <f t="shared" si="11"/>
        <v>6</v>
      </c>
      <c r="S29" s="98">
        <f t="shared" si="21"/>
        <v>0</v>
      </c>
      <c r="T29" s="356">
        <f t="shared" si="22"/>
        <v>1.0404</v>
      </c>
      <c r="U29" s="364">
        <f t="shared" ca="1" si="26"/>
        <v>485103696.72274697</v>
      </c>
      <c r="V29" s="354">
        <f t="shared" si="2"/>
        <v>0.35</v>
      </c>
      <c r="W29" s="365">
        <f t="shared" ca="1" si="27"/>
        <v>169786293.85296142</v>
      </c>
      <c r="X29" s="355">
        <f t="shared" si="12"/>
        <v>21.346399999999999</v>
      </c>
      <c r="Y29" s="364">
        <f t="shared" ca="1" si="28"/>
        <v>3624326.1431028559</v>
      </c>
      <c r="Z29" s="353">
        <f t="shared" si="13"/>
        <v>0.25</v>
      </c>
      <c r="AA29" s="365">
        <f t="shared" si="14"/>
        <v>0</v>
      </c>
      <c r="AB29" s="98">
        <f t="shared" ca="1" si="15"/>
        <v>3624326.1431028559</v>
      </c>
      <c r="AC29" s="366">
        <f t="shared" ca="1" si="16"/>
        <v>2718244.6073271418</v>
      </c>
      <c r="AD29" s="366">
        <f t="shared" ca="1" si="17"/>
        <v>2209954.9653066192</v>
      </c>
      <c r="AE29" s="366">
        <f t="shared" ca="1" si="3"/>
        <v>2209954.9653066192</v>
      </c>
    </row>
    <row r="30" spans="1:31" ht="14.4">
      <c r="A30" s="362">
        <f t="shared" si="18"/>
        <v>1</v>
      </c>
      <c r="B30" s="349">
        <f t="shared" si="4"/>
        <v>7</v>
      </c>
      <c r="C30" s="98">
        <f t="shared" si="19"/>
        <v>51265615.056110851</v>
      </c>
      <c r="D30" s="356">
        <f t="shared" si="20"/>
        <v>1.0404</v>
      </c>
      <c r="E30" s="364">
        <f t="shared" ca="1" si="23"/>
        <v>485103696.72274697</v>
      </c>
      <c r="F30" s="354">
        <f t="shared" si="0"/>
        <v>0.35</v>
      </c>
      <c r="G30" s="365">
        <f t="shared" ca="1" si="24"/>
        <v>169786293.85296142</v>
      </c>
      <c r="H30" s="355">
        <f t="shared" si="5"/>
        <v>21.346399999999999</v>
      </c>
      <c r="I30" s="364">
        <f t="shared" ca="1" si="25"/>
        <v>3241308.4292710382</v>
      </c>
      <c r="J30" s="353">
        <f t="shared" si="6"/>
        <v>0.25</v>
      </c>
      <c r="K30" s="365">
        <f t="shared" si="7"/>
        <v>383017.71383181756</v>
      </c>
      <c r="L30" s="98">
        <f t="shared" ca="1" si="8"/>
        <v>3624326.1431028559</v>
      </c>
      <c r="M30" s="366">
        <f t="shared" ca="1" si="9"/>
        <v>2430981.3219532785</v>
      </c>
      <c r="N30" s="366">
        <f t="shared" ca="1" si="10"/>
        <v>1976407.5788238037</v>
      </c>
      <c r="O30" s="429">
        <f t="shared" ca="1" si="1"/>
        <v>1976407.5788238037</v>
      </c>
      <c r="P30" s="96"/>
      <c r="Q30" s="96"/>
      <c r="R30" s="349">
        <f t="shared" si="11"/>
        <v>7</v>
      </c>
      <c r="S30" s="98">
        <f t="shared" si="21"/>
        <v>0</v>
      </c>
      <c r="T30" s="356">
        <f t="shared" si="22"/>
        <v>1.0404</v>
      </c>
      <c r="U30" s="364">
        <f t="shared" ca="1" si="26"/>
        <v>485103696.72274697</v>
      </c>
      <c r="V30" s="354">
        <f t="shared" si="2"/>
        <v>0.35</v>
      </c>
      <c r="W30" s="365">
        <f t="shared" ca="1" si="27"/>
        <v>169786293.85296142</v>
      </c>
      <c r="X30" s="355">
        <f t="shared" si="12"/>
        <v>21.346399999999999</v>
      </c>
      <c r="Y30" s="364">
        <f t="shared" ca="1" si="28"/>
        <v>3624326.1431028559</v>
      </c>
      <c r="Z30" s="353">
        <f t="shared" si="13"/>
        <v>0.25</v>
      </c>
      <c r="AA30" s="365">
        <f t="shared" si="14"/>
        <v>0</v>
      </c>
      <c r="AB30" s="98">
        <f t="shared" ca="1" si="15"/>
        <v>3624326.1431028559</v>
      </c>
      <c r="AC30" s="366">
        <f t="shared" ca="1" si="16"/>
        <v>2718244.6073271418</v>
      </c>
      <c r="AD30" s="366">
        <f t="shared" ca="1" si="17"/>
        <v>2209954.9653066192</v>
      </c>
      <c r="AE30" s="366">
        <f t="shared" ca="1" si="3"/>
        <v>2209954.9653066192</v>
      </c>
    </row>
    <row r="31" spans="1:31" ht="14.4">
      <c r="A31" s="362">
        <f t="shared" si="18"/>
        <v>2</v>
      </c>
      <c r="B31" s="349">
        <f t="shared" si="4"/>
        <v>8</v>
      </c>
      <c r="C31" s="98">
        <f t="shared" si="19"/>
        <v>53336745.904377729</v>
      </c>
      <c r="D31" s="356">
        <f t="shared" si="20"/>
        <v>1.0404</v>
      </c>
      <c r="E31" s="364">
        <f t="shared" ca="1" si="23"/>
        <v>485103696.72274697</v>
      </c>
      <c r="F31" s="354">
        <f t="shared" si="0"/>
        <v>0.35</v>
      </c>
      <c r="G31" s="365">
        <f t="shared" ca="1" si="24"/>
        <v>169786293.85296142</v>
      </c>
      <c r="H31" s="355">
        <f t="shared" si="5"/>
        <v>21.346399999999999</v>
      </c>
      <c r="I31" s="364">
        <f t="shared" ca="1" si="25"/>
        <v>3225834.5136322328</v>
      </c>
      <c r="J31" s="353">
        <f t="shared" si="6"/>
        <v>0.25</v>
      </c>
      <c r="K31" s="365">
        <f t="shared" si="7"/>
        <v>398491.62947062304</v>
      </c>
      <c r="L31" s="98">
        <f t="shared" ca="1" si="8"/>
        <v>3624326.1431028559</v>
      </c>
      <c r="M31" s="366">
        <f t="shared" ca="1" si="9"/>
        <v>2419375.8852241747</v>
      </c>
      <c r="N31" s="366">
        <f t="shared" ca="1" si="10"/>
        <v>1966972.2644098981</v>
      </c>
      <c r="O31" s="429">
        <f t="shared" ca="1" si="1"/>
        <v>1966972.2644098981</v>
      </c>
      <c r="P31" s="96"/>
      <c r="Q31" s="96"/>
      <c r="R31" s="349">
        <f t="shared" si="11"/>
        <v>8</v>
      </c>
      <c r="S31" s="98">
        <f t="shared" si="21"/>
        <v>0</v>
      </c>
      <c r="T31" s="356">
        <f t="shared" si="22"/>
        <v>1.0404</v>
      </c>
      <c r="U31" s="364">
        <f t="shared" ca="1" si="26"/>
        <v>485103696.72274697</v>
      </c>
      <c r="V31" s="354">
        <f t="shared" si="2"/>
        <v>0.35</v>
      </c>
      <c r="W31" s="365">
        <f t="shared" ca="1" si="27"/>
        <v>169786293.85296142</v>
      </c>
      <c r="X31" s="355">
        <f t="shared" si="12"/>
        <v>21.346399999999999</v>
      </c>
      <c r="Y31" s="364">
        <f t="shared" ca="1" si="28"/>
        <v>3624326.1431028559</v>
      </c>
      <c r="Z31" s="353">
        <f t="shared" si="13"/>
        <v>0.25</v>
      </c>
      <c r="AA31" s="365">
        <f t="shared" si="14"/>
        <v>0</v>
      </c>
      <c r="AB31" s="98">
        <f t="shared" ca="1" si="15"/>
        <v>3624326.1431028559</v>
      </c>
      <c r="AC31" s="366">
        <f t="shared" ca="1" si="16"/>
        <v>2718244.6073271418</v>
      </c>
      <c r="AD31" s="366">
        <f t="shared" ca="1" si="17"/>
        <v>2209954.9653066192</v>
      </c>
      <c r="AE31" s="366">
        <f t="shared" ca="1" si="3"/>
        <v>2209954.9653066192</v>
      </c>
    </row>
    <row r="32" spans="1:31" ht="14.4">
      <c r="A32" s="362">
        <f t="shared" si="18"/>
        <v>0</v>
      </c>
      <c r="B32" s="349">
        <f t="shared" si="4"/>
        <v>9</v>
      </c>
      <c r="C32" s="98">
        <f t="shared" si="19"/>
        <v>56601381.447692879</v>
      </c>
      <c r="D32" s="356">
        <f t="shared" si="20"/>
        <v>1.0612079999999999</v>
      </c>
      <c r="E32" s="364">
        <f t="shared" ca="1" si="23"/>
        <v>494805770.65720189</v>
      </c>
      <c r="F32" s="354">
        <f t="shared" si="0"/>
        <v>0.35</v>
      </c>
      <c r="G32" s="365">
        <f t="shared" ca="1" si="24"/>
        <v>173182019.73002064</v>
      </c>
      <c r="H32" s="355">
        <f t="shared" si="5"/>
        <v>21.346399999999999</v>
      </c>
      <c r="I32" s="364">
        <f t="shared" ca="1" si="25"/>
        <v>3273930.1608376517</v>
      </c>
      <c r="J32" s="353">
        <f t="shared" si="6"/>
        <v>0.25</v>
      </c>
      <c r="K32" s="365">
        <f t="shared" si="7"/>
        <v>422882.50512726087</v>
      </c>
      <c r="L32" s="98">
        <f t="shared" ca="1" si="8"/>
        <v>3696812.6659649126</v>
      </c>
      <c r="M32" s="366">
        <f t="shared" ca="1" si="9"/>
        <v>2455447.6206282387</v>
      </c>
      <c r="N32" s="366">
        <f t="shared" ca="1" si="10"/>
        <v>1996298.8785595438</v>
      </c>
      <c r="O32" s="429">
        <f t="shared" ca="1" si="1"/>
        <v>1996298.8785595438</v>
      </c>
      <c r="P32" s="340"/>
      <c r="Q32" s="96"/>
      <c r="R32" s="349">
        <f t="shared" si="11"/>
        <v>9</v>
      </c>
      <c r="S32" s="98">
        <f t="shared" si="21"/>
        <v>0</v>
      </c>
      <c r="T32" s="356">
        <f t="shared" si="22"/>
        <v>1.0612079999999999</v>
      </c>
      <c r="U32" s="364">
        <f t="shared" ca="1" si="26"/>
        <v>494805770.65720189</v>
      </c>
      <c r="V32" s="354">
        <f t="shared" si="2"/>
        <v>0.35</v>
      </c>
      <c r="W32" s="365">
        <f t="shared" ca="1" si="27"/>
        <v>173182019.73002064</v>
      </c>
      <c r="X32" s="355">
        <f t="shared" si="12"/>
        <v>21.346399999999999</v>
      </c>
      <c r="Y32" s="364">
        <f t="shared" ca="1" si="28"/>
        <v>3696812.6659649126</v>
      </c>
      <c r="Z32" s="353">
        <f t="shared" si="13"/>
        <v>0.25</v>
      </c>
      <c r="AA32" s="365">
        <f t="shared" si="14"/>
        <v>0</v>
      </c>
      <c r="AB32" s="98">
        <f t="shared" ca="1" si="15"/>
        <v>3696812.6659649126</v>
      </c>
      <c r="AC32" s="366">
        <f t="shared" ca="1" si="16"/>
        <v>2772609.4994736845</v>
      </c>
      <c r="AD32" s="366">
        <f t="shared" ca="1" si="17"/>
        <v>2254154.0646127518</v>
      </c>
      <c r="AE32" s="366">
        <f t="shared" ca="1" si="3"/>
        <v>2254154.0646127518</v>
      </c>
    </row>
    <row r="33" spans="1:31" ht="14.4">
      <c r="A33" s="362">
        <f t="shared" si="18"/>
        <v>1</v>
      </c>
      <c r="B33" s="349">
        <f t="shared" si="4"/>
        <v>10</v>
      </c>
      <c r="C33" s="98">
        <f t="shared" si="19"/>
        <v>60065838.803343259</v>
      </c>
      <c r="D33" s="356">
        <f t="shared" si="20"/>
        <v>1.0612079999999999</v>
      </c>
      <c r="E33" s="364">
        <f t="shared" ca="1" si="23"/>
        <v>494805770.65720189</v>
      </c>
      <c r="F33" s="354">
        <f t="shared" si="0"/>
        <v>0.35</v>
      </c>
      <c r="G33" s="365">
        <f t="shared" ca="1" si="24"/>
        <v>173182019.73002064</v>
      </c>
      <c r="H33" s="355">
        <f t="shared" si="5"/>
        <v>21.346399999999999</v>
      </c>
      <c r="I33" s="364">
        <f t="shared" ca="1" si="25"/>
        <v>3248046.3684638226</v>
      </c>
      <c r="J33" s="353">
        <f t="shared" si="6"/>
        <v>0.25</v>
      </c>
      <c r="K33" s="365">
        <f t="shared" si="7"/>
        <v>448766.29750109022</v>
      </c>
      <c r="L33" s="98">
        <f t="shared" ca="1" si="8"/>
        <v>3696812.6659649126</v>
      </c>
      <c r="M33" s="366">
        <f t="shared" ca="1" si="9"/>
        <v>2436034.7763478672</v>
      </c>
      <c r="N33" s="366">
        <f t="shared" ca="1" si="10"/>
        <v>1980516.0783315995</v>
      </c>
      <c r="O33" s="429">
        <f t="shared" ca="1" si="1"/>
        <v>1980516.0783315995</v>
      </c>
      <c r="P33" s="98"/>
      <c r="Q33" s="96"/>
      <c r="R33" s="349">
        <f t="shared" si="11"/>
        <v>10</v>
      </c>
      <c r="S33" s="98">
        <f t="shared" si="21"/>
        <v>0</v>
      </c>
      <c r="T33" s="356">
        <f t="shared" si="22"/>
        <v>1.0612079999999999</v>
      </c>
      <c r="U33" s="364">
        <f t="shared" ca="1" si="26"/>
        <v>494805770.65720189</v>
      </c>
      <c r="V33" s="354">
        <f t="shared" si="2"/>
        <v>0.35</v>
      </c>
      <c r="W33" s="365">
        <f t="shared" ca="1" si="27"/>
        <v>173182019.73002064</v>
      </c>
      <c r="X33" s="355">
        <f t="shared" si="12"/>
        <v>21.346399999999999</v>
      </c>
      <c r="Y33" s="364">
        <f t="shared" ca="1" si="28"/>
        <v>3696812.6659649126</v>
      </c>
      <c r="Z33" s="353">
        <f t="shared" si="13"/>
        <v>0.25</v>
      </c>
      <c r="AA33" s="365">
        <f t="shared" si="14"/>
        <v>0</v>
      </c>
      <c r="AB33" s="98">
        <f t="shared" ca="1" si="15"/>
        <v>3696812.6659649126</v>
      </c>
      <c r="AC33" s="366">
        <f t="shared" ca="1" si="16"/>
        <v>2772609.4994736845</v>
      </c>
      <c r="AD33" s="366">
        <f t="shared" ca="1" si="17"/>
        <v>2254154.0646127518</v>
      </c>
      <c r="AE33" s="366">
        <f t="shared" ca="1" si="3"/>
        <v>2254154.0646127518</v>
      </c>
    </row>
    <row r="34" spans="1:31" ht="14.4">
      <c r="A34" s="362">
        <f t="shared" si="18"/>
        <v>2</v>
      </c>
      <c r="B34" s="349">
        <f t="shared" si="4"/>
        <v>11</v>
      </c>
      <c r="C34" s="98">
        <f t="shared" si="19"/>
        <v>63742348.664818287</v>
      </c>
      <c r="D34" s="356">
        <f t="shared" si="20"/>
        <v>1.0612079999999999</v>
      </c>
      <c r="E34" s="364">
        <f t="shared" ca="1" si="23"/>
        <v>494805770.65720189</v>
      </c>
      <c r="F34" s="354">
        <f t="shared" si="0"/>
        <v>0.35</v>
      </c>
      <c r="G34" s="365">
        <f t="shared" ca="1" si="24"/>
        <v>173182019.73002064</v>
      </c>
      <c r="H34" s="355">
        <f t="shared" si="5"/>
        <v>21.346399999999999</v>
      </c>
      <c r="I34" s="364">
        <f t="shared" ca="1" si="25"/>
        <v>3220578.2809263756</v>
      </c>
      <c r="J34" s="353">
        <f t="shared" si="6"/>
        <v>0.25</v>
      </c>
      <c r="K34" s="365">
        <f t="shared" si="7"/>
        <v>476234.38503853692</v>
      </c>
      <c r="L34" s="98">
        <f t="shared" ca="1" si="8"/>
        <v>3696812.6659649126</v>
      </c>
      <c r="M34" s="366">
        <f t="shared" ca="1" si="9"/>
        <v>2415433.7106947815</v>
      </c>
      <c r="N34" s="366">
        <f t="shared" ca="1" si="10"/>
        <v>1963767.244467302</v>
      </c>
      <c r="O34" s="429">
        <f t="shared" ca="1" si="1"/>
        <v>1963767.244467302</v>
      </c>
      <c r="P34" s="98"/>
      <c r="Q34" s="96"/>
      <c r="R34" s="349">
        <f t="shared" si="11"/>
        <v>11</v>
      </c>
      <c r="S34" s="98">
        <f t="shared" si="21"/>
        <v>0</v>
      </c>
      <c r="T34" s="356">
        <f t="shared" si="22"/>
        <v>1.0612079999999999</v>
      </c>
      <c r="U34" s="364">
        <f t="shared" ca="1" si="26"/>
        <v>494805770.65720189</v>
      </c>
      <c r="V34" s="354">
        <f t="shared" si="2"/>
        <v>0.35</v>
      </c>
      <c r="W34" s="365">
        <f t="shared" ca="1" si="27"/>
        <v>173182019.73002064</v>
      </c>
      <c r="X34" s="355">
        <f t="shared" si="12"/>
        <v>21.346399999999999</v>
      </c>
      <c r="Y34" s="364">
        <f t="shared" ca="1" si="28"/>
        <v>3696812.6659649126</v>
      </c>
      <c r="Z34" s="353">
        <f t="shared" si="13"/>
        <v>0.25</v>
      </c>
      <c r="AA34" s="365">
        <f t="shared" si="14"/>
        <v>0</v>
      </c>
      <c r="AB34" s="98">
        <f t="shared" ca="1" si="15"/>
        <v>3696812.6659649126</v>
      </c>
      <c r="AC34" s="366">
        <f t="shared" ca="1" si="16"/>
        <v>2772609.4994736845</v>
      </c>
      <c r="AD34" s="366">
        <f t="shared" ca="1" si="17"/>
        <v>2254154.0646127518</v>
      </c>
      <c r="AE34" s="366">
        <f t="shared" ca="1" si="3"/>
        <v>2254154.0646127518</v>
      </c>
    </row>
    <row r="35" spans="1:31" ht="14.4">
      <c r="A35" s="362">
        <f t="shared" si="18"/>
        <v>0</v>
      </c>
      <c r="B35" s="349">
        <f t="shared" si="4"/>
        <v>12</v>
      </c>
      <c r="C35" s="98">
        <f t="shared" si="19"/>
        <v>68996768.148732379</v>
      </c>
      <c r="D35" s="356">
        <f t="shared" si="20"/>
        <v>1.08243216</v>
      </c>
      <c r="E35" s="364">
        <f t="shared" ca="1" si="23"/>
        <v>504701886.07034594</v>
      </c>
      <c r="F35" s="354">
        <f t="shared" si="0"/>
        <v>0.35</v>
      </c>
      <c r="G35" s="365">
        <f t="shared" ca="1" si="24"/>
        <v>176645660.12462106</v>
      </c>
      <c r="H35" s="355">
        <f t="shared" si="5"/>
        <v>21.346399999999999</v>
      </c>
      <c r="I35" s="364">
        <f t="shared" ca="1" si="25"/>
        <v>3255257.5052206754</v>
      </c>
      <c r="J35" s="353">
        <f t="shared" si="6"/>
        <v>0.25</v>
      </c>
      <c r="K35" s="365">
        <f t="shared" si="7"/>
        <v>515491.41406353522</v>
      </c>
      <c r="L35" s="98">
        <f t="shared" ca="1" si="8"/>
        <v>3770748.9192842105</v>
      </c>
      <c r="M35" s="366">
        <f t="shared" ca="1" si="9"/>
        <v>2441443.1289155064</v>
      </c>
      <c r="N35" s="366">
        <f t="shared" ca="1" si="10"/>
        <v>1984913.1129394362</v>
      </c>
      <c r="O35" s="429">
        <f t="shared" ca="1" si="1"/>
        <v>1984913.1129394362</v>
      </c>
      <c r="P35" s="98"/>
      <c r="Q35" s="96"/>
      <c r="R35" s="349">
        <f t="shared" si="11"/>
        <v>12</v>
      </c>
      <c r="S35" s="98">
        <f t="shared" si="21"/>
        <v>0</v>
      </c>
      <c r="T35" s="356">
        <f t="shared" si="22"/>
        <v>1.08243216</v>
      </c>
      <c r="U35" s="364">
        <f t="shared" ca="1" si="26"/>
        <v>504701886.07034594</v>
      </c>
      <c r="V35" s="354">
        <f t="shared" si="2"/>
        <v>0.35</v>
      </c>
      <c r="W35" s="365">
        <f t="shared" ca="1" si="27"/>
        <v>176645660.12462106</v>
      </c>
      <c r="X35" s="355">
        <f t="shared" si="12"/>
        <v>21.346399999999999</v>
      </c>
      <c r="Y35" s="364">
        <f t="shared" ca="1" si="28"/>
        <v>3770748.9192842105</v>
      </c>
      <c r="Z35" s="353">
        <f t="shared" si="13"/>
        <v>0.25</v>
      </c>
      <c r="AA35" s="365">
        <f t="shared" si="14"/>
        <v>0</v>
      </c>
      <c r="AB35" s="98">
        <f t="shared" ca="1" si="15"/>
        <v>3770748.9192842105</v>
      </c>
      <c r="AC35" s="366">
        <f t="shared" ca="1" si="16"/>
        <v>2828061.6894631581</v>
      </c>
      <c r="AD35" s="366">
        <f t="shared" ca="1" si="17"/>
        <v>2299237.1459050067</v>
      </c>
      <c r="AE35" s="366">
        <f t="shared" ca="1" si="3"/>
        <v>2299237.1459050067</v>
      </c>
    </row>
    <row r="36" spans="1:31" ht="14.4">
      <c r="A36" s="362">
        <f t="shared" si="18"/>
        <v>1</v>
      </c>
      <c r="B36" s="349">
        <f t="shared" si="4"/>
        <v>13</v>
      </c>
      <c r="C36" s="98">
        <f t="shared" si="19"/>
        <v>74684320.780251592</v>
      </c>
      <c r="D36" s="356">
        <f t="shared" si="20"/>
        <v>1.08243216</v>
      </c>
      <c r="E36" s="364">
        <f t="shared" ca="1" si="23"/>
        <v>504701886.07034594</v>
      </c>
      <c r="F36" s="354">
        <f t="shared" si="0"/>
        <v>0.35</v>
      </c>
      <c r="G36" s="365">
        <f t="shared" ca="1" si="24"/>
        <v>176645660.12462106</v>
      </c>
      <c r="H36" s="355">
        <f t="shared" si="5"/>
        <v>21.346399999999999</v>
      </c>
      <c r="I36" s="364">
        <f t="shared" ca="1" si="25"/>
        <v>3212764.4344979636</v>
      </c>
      <c r="J36" s="353">
        <f t="shared" si="6"/>
        <v>0.25</v>
      </c>
      <c r="K36" s="365">
        <f t="shared" si="7"/>
        <v>557984.48478624679</v>
      </c>
      <c r="L36" s="98">
        <f t="shared" ca="1" si="8"/>
        <v>3770748.9192842105</v>
      </c>
      <c r="M36" s="366">
        <f t="shared" ca="1" si="9"/>
        <v>2409573.3258734727</v>
      </c>
      <c r="N36" s="366">
        <f t="shared" ca="1" si="10"/>
        <v>1959002.7039621731</v>
      </c>
      <c r="O36" s="429">
        <f t="shared" ca="1" si="1"/>
        <v>1959002.7039621731</v>
      </c>
      <c r="P36" s="98"/>
      <c r="Q36" s="96"/>
      <c r="R36" s="349">
        <f t="shared" si="11"/>
        <v>13</v>
      </c>
      <c r="S36" s="98">
        <f t="shared" si="21"/>
        <v>0</v>
      </c>
      <c r="T36" s="356">
        <f t="shared" si="22"/>
        <v>1.08243216</v>
      </c>
      <c r="U36" s="364">
        <f t="shared" ca="1" si="26"/>
        <v>504701886.07034594</v>
      </c>
      <c r="V36" s="354">
        <f t="shared" si="2"/>
        <v>0.35</v>
      </c>
      <c r="W36" s="365">
        <f t="shared" ca="1" si="27"/>
        <v>176645660.12462106</v>
      </c>
      <c r="X36" s="355">
        <f t="shared" si="12"/>
        <v>21.346399999999999</v>
      </c>
      <c r="Y36" s="364">
        <f t="shared" ca="1" si="28"/>
        <v>3770748.9192842105</v>
      </c>
      <c r="Z36" s="353">
        <f t="shared" si="13"/>
        <v>0.25</v>
      </c>
      <c r="AA36" s="365">
        <f t="shared" si="14"/>
        <v>0</v>
      </c>
      <c r="AB36" s="98">
        <f t="shared" ca="1" si="15"/>
        <v>3770748.9192842105</v>
      </c>
      <c r="AC36" s="366">
        <f t="shared" ca="1" si="16"/>
        <v>2828061.6894631581</v>
      </c>
      <c r="AD36" s="366">
        <f t="shared" ca="1" si="17"/>
        <v>2299237.1459050067</v>
      </c>
      <c r="AE36" s="366">
        <f t="shared" ca="1" si="3"/>
        <v>2299237.1459050067</v>
      </c>
    </row>
    <row r="37" spans="1:31" ht="14.4">
      <c r="A37" s="362">
        <f t="shared" si="18"/>
        <v>2</v>
      </c>
      <c r="B37" s="349">
        <f t="shared" si="4"/>
        <v>14</v>
      </c>
      <c r="C37" s="98">
        <f t="shared" si="19"/>
        <v>80840710.660300612</v>
      </c>
      <c r="D37" s="356">
        <f t="shared" si="20"/>
        <v>1.08243216</v>
      </c>
      <c r="E37" s="364">
        <f t="shared" ca="1" si="23"/>
        <v>504701886.07034594</v>
      </c>
      <c r="F37" s="354">
        <f t="shared" si="0"/>
        <v>0.35</v>
      </c>
      <c r="G37" s="365">
        <f t="shared" ca="1" si="24"/>
        <v>176645660.12462106</v>
      </c>
      <c r="H37" s="355">
        <f t="shared" si="5"/>
        <v>21.346399999999999</v>
      </c>
      <c r="I37" s="364">
        <f t="shared" ca="1" si="25"/>
        <v>3166768.5681705466</v>
      </c>
      <c r="J37" s="353">
        <f t="shared" si="6"/>
        <v>0.25</v>
      </c>
      <c r="K37" s="365">
        <f t="shared" si="7"/>
        <v>603980.35111366422</v>
      </c>
      <c r="L37" s="98">
        <f t="shared" ca="1" si="8"/>
        <v>3770748.9192842105</v>
      </c>
      <c r="M37" s="366">
        <f t="shared" ca="1" si="9"/>
        <v>2375076.4261279097</v>
      </c>
      <c r="N37" s="366">
        <f t="shared" ca="1" si="10"/>
        <v>1930956.4440064307</v>
      </c>
      <c r="O37" s="429">
        <f t="shared" ca="1" si="1"/>
        <v>1930956.4440064307</v>
      </c>
      <c r="P37" s="98"/>
      <c r="Q37" s="96"/>
      <c r="R37" s="349">
        <f t="shared" si="11"/>
        <v>14</v>
      </c>
      <c r="S37" s="98">
        <f t="shared" si="21"/>
        <v>0</v>
      </c>
      <c r="T37" s="356">
        <f t="shared" si="22"/>
        <v>1.08243216</v>
      </c>
      <c r="U37" s="364">
        <f t="shared" ca="1" si="26"/>
        <v>504701886.07034594</v>
      </c>
      <c r="V37" s="354">
        <f t="shared" si="2"/>
        <v>0.35</v>
      </c>
      <c r="W37" s="365">
        <f t="shared" ca="1" si="27"/>
        <v>176645660.12462106</v>
      </c>
      <c r="X37" s="355">
        <f t="shared" si="12"/>
        <v>21.346399999999999</v>
      </c>
      <c r="Y37" s="364">
        <f t="shared" ca="1" si="28"/>
        <v>3770748.9192842105</v>
      </c>
      <c r="Z37" s="353">
        <f t="shared" si="13"/>
        <v>0.25</v>
      </c>
      <c r="AA37" s="365">
        <f t="shared" si="14"/>
        <v>0</v>
      </c>
      <c r="AB37" s="98">
        <f t="shared" ca="1" si="15"/>
        <v>3770748.9192842105</v>
      </c>
      <c r="AC37" s="366">
        <f t="shared" ca="1" si="16"/>
        <v>2828061.6894631581</v>
      </c>
      <c r="AD37" s="366">
        <f t="shared" ca="1" si="17"/>
        <v>2299237.1459050067</v>
      </c>
      <c r="AE37" s="366">
        <f t="shared" ca="1" si="3"/>
        <v>2299237.1459050067</v>
      </c>
    </row>
    <row r="38" spans="1:31" ht="14.4">
      <c r="A38" s="362">
        <f t="shared" si="18"/>
        <v>0</v>
      </c>
      <c r="B38" s="349">
        <f t="shared" si="4"/>
        <v>15</v>
      </c>
      <c r="C38" s="98">
        <f t="shared" si="19"/>
        <v>89254676.757083505</v>
      </c>
      <c r="D38" s="356">
        <f t="shared" si="20"/>
        <v>1.1040808032</v>
      </c>
      <c r="E38" s="364">
        <f t="shared" ca="1" si="23"/>
        <v>514795923.79175287</v>
      </c>
      <c r="F38" s="354">
        <f t="shared" si="0"/>
        <v>0.35</v>
      </c>
      <c r="G38" s="365">
        <f t="shared" ca="1" si="24"/>
        <v>180178573.32711351</v>
      </c>
      <c r="H38" s="355">
        <f t="shared" si="5"/>
        <v>21.346399999999999</v>
      </c>
      <c r="I38" s="364">
        <f t="shared" ca="1" si="25"/>
        <v>3179320.7864953028</v>
      </c>
      <c r="J38" s="353">
        <f t="shared" si="6"/>
        <v>0.25</v>
      </c>
      <c r="K38" s="365">
        <f t="shared" si="7"/>
        <v>666843.11117459252</v>
      </c>
      <c r="L38" s="98">
        <f t="shared" ca="1" si="8"/>
        <v>3846163.8976698956</v>
      </c>
      <c r="M38" s="366">
        <f t="shared" ca="1" si="9"/>
        <v>2384490.5898714773</v>
      </c>
      <c r="N38" s="366">
        <f t="shared" ca="1" si="10"/>
        <v>1938610.2356678678</v>
      </c>
      <c r="O38" s="429">
        <f t="shared" ca="1" si="1"/>
        <v>1938610.2356678678</v>
      </c>
      <c r="P38" s="98"/>
      <c r="Q38" s="96"/>
      <c r="R38" s="349">
        <f t="shared" si="11"/>
        <v>15</v>
      </c>
      <c r="S38" s="98">
        <f t="shared" si="21"/>
        <v>0</v>
      </c>
      <c r="T38" s="356">
        <f t="shared" si="22"/>
        <v>1.1040808032</v>
      </c>
      <c r="U38" s="364">
        <f t="shared" ca="1" si="26"/>
        <v>514795923.79175287</v>
      </c>
      <c r="V38" s="354">
        <f t="shared" si="2"/>
        <v>0.35</v>
      </c>
      <c r="W38" s="365">
        <f t="shared" ca="1" si="27"/>
        <v>180178573.32711351</v>
      </c>
      <c r="X38" s="355">
        <f t="shared" si="12"/>
        <v>21.346399999999999</v>
      </c>
      <c r="Y38" s="364">
        <f t="shared" ca="1" si="28"/>
        <v>3846163.8976698956</v>
      </c>
      <c r="Z38" s="353">
        <f t="shared" si="13"/>
        <v>0.25</v>
      </c>
      <c r="AA38" s="365">
        <f t="shared" si="14"/>
        <v>0</v>
      </c>
      <c r="AB38" s="98">
        <f t="shared" ca="1" si="15"/>
        <v>3846163.8976698956</v>
      </c>
      <c r="AC38" s="366">
        <f t="shared" ca="1" si="16"/>
        <v>2884622.9232524214</v>
      </c>
      <c r="AD38" s="366">
        <f t="shared" ca="1" si="17"/>
        <v>2345221.8888231069</v>
      </c>
      <c r="AE38" s="366">
        <f t="shared" ca="1" si="3"/>
        <v>2345221.8888231069</v>
      </c>
    </row>
    <row r="39" spans="1:31" ht="14.4">
      <c r="A39" s="362">
        <f t="shared" si="18"/>
        <v>1</v>
      </c>
      <c r="B39" s="349">
        <f t="shared" si="4"/>
        <v>16</v>
      </c>
      <c r="C39" s="98">
        <f t="shared" si="19"/>
        <v>98544375.203317136</v>
      </c>
      <c r="D39" s="356">
        <f t="shared" si="20"/>
        <v>1.1040808032</v>
      </c>
      <c r="E39" s="364">
        <f t="shared" ca="1" si="23"/>
        <v>514795923.79175287</v>
      </c>
      <c r="F39" s="354">
        <f t="shared" si="0"/>
        <v>0.35</v>
      </c>
      <c r="G39" s="365">
        <f t="shared" ca="1" si="24"/>
        <v>180178573.32711351</v>
      </c>
      <c r="H39" s="355">
        <f t="shared" si="5"/>
        <v>21.346399999999999</v>
      </c>
      <c r="I39" s="364">
        <f t="shared" ca="1" si="25"/>
        <v>3109915.2198758647</v>
      </c>
      <c r="J39" s="353">
        <f t="shared" si="6"/>
        <v>0.25</v>
      </c>
      <c r="K39" s="365">
        <f t="shared" si="7"/>
        <v>736248.67779403098</v>
      </c>
      <c r="L39" s="98">
        <f t="shared" ca="1" si="8"/>
        <v>3846163.8976698956</v>
      </c>
      <c r="M39" s="366">
        <f t="shared" ca="1" si="9"/>
        <v>2332436.4149068985</v>
      </c>
      <c r="N39" s="366">
        <f t="shared" ca="1" si="10"/>
        <v>1896289.7682169906</v>
      </c>
      <c r="O39" s="429">
        <f t="shared" ca="1" si="1"/>
        <v>1896289.7682169906</v>
      </c>
      <c r="P39" s="96"/>
      <c r="Q39" s="96"/>
      <c r="R39" s="349">
        <f t="shared" si="11"/>
        <v>16</v>
      </c>
      <c r="S39" s="98">
        <f t="shared" si="21"/>
        <v>0</v>
      </c>
      <c r="T39" s="356">
        <f t="shared" si="22"/>
        <v>1.1040808032</v>
      </c>
      <c r="U39" s="364">
        <f t="shared" ca="1" si="26"/>
        <v>514795923.79175287</v>
      </c>
      <c r="V39" s="354">
        <f t="shared" si="2"/>
        <v>0.35</v>
      </c>
      <c r="W39" s="365">
        <f t="shared" ca="1" si="27"/>
        <v>180178573.32711351</v>
      </c>
      <c r="X39" s="355">
        <f t="shared" si="12"/>
        <v>21.346399999999999</v>
      </c>
      <c r="Y39" s="364">
        <f t="shared" ca="1" si="28"/>
        <v>3846163.8976698956</v>
      </c>
      <c r="Z39" s="353">
        <f t="shared" si="13"/>
        <v>0.25</v>
      </c>
      <c r="AA39" s="365">
        <f t="shared" si="14"/>
        <v>0</v>
      </c>
      <c r="AB39" s="98">
        <f t="shared" ca="1" si="15"/>
        <v>3846163.8976698956</v>
      </c>
      <c r="AC39" s="366">
        <f t="shared" ca="1" si="16"/>
        <v>2884622.9232524214</v>
      </c>
      <c r="AD39" s="366">
        <f t="shared" ca="1" si="17"/>
        <v>2345221.8888231069</v>
      </c>
      <c r="AE39" s="366">
        <f t="shared" ca="1" si="3"/>
        <v>2345221.8888231069</v>
      </c>
    </row>
    <row r="40" spans="1:31" ht="14.4">
      <c r="A40" s="362">
        <f t="shared" si="18"/>
        <v>2</v>
      </c>
      <c r="B40" s="349">
        <f t="shared" si="4"/>
        <v>17</v>
      </c>
      <c r="C40" s="98">
        <f t="shared" si="19"/>
        <v>108800952.92532055</v>
      </c>
      <c r="D40" s="356">
        <f t="shared" si="20"/>
        <v>1.1040808032</v>
      </c>
      <c r="E40" s="364">
        <f t="shared" ca="1" si="23"/>
        <v>514795923.79175287</v>
      </c>
      <c r="F40" s="354">
        <f t="shared" si="0"/>
        <v>0.35</v>
      </c>
      <c r="G40" s="365">
        <f t="shared" ca="1" si="24"/>
        <v>180178573.32711351</v>
      </c>
      <c r="H40" s="355">
        <f t="shared" si="5"/>
        <v>21.346399999999999</v>
      </c>
      <c r="I40" s="364">
        <f t="shared" ca="1" si="25"/>
        <v>3033285.8661361239</v>
      </c>
      <c r="J40" s="353">
        <f t="shared" si="6"/>
        <v>0.25</v>
      </c>
      <c r="K40" s="365">
        <f t="shared" si="7"/>
        <v>812878.03153377178</v>
      </c>
      <c r="L40" s="98">
        <f t="shared" ca="1" si="8"/>
        <v>3846163.8976698956</v>
      </c>
      <c r="M40" s="366">
        <f t="shared" ca="1" si="9"/>
        <v>2274964.3996020928</v>
      </c>
      <c r="N40" s="366">
        <f t="shared" ca="1" si="10"/>
        <v>1849564.5525220267</v>
      </c>
      <c r="O40" s="429">
        <f t="shared" ca="1" si="1"/>
        <v>1849564.5525220267</v>
      </c>
      <c r="P40" s="96"/>
      <c r="Q40" s="96"/>
      <c r="R40" s="349">
        <f t="shared" si="11"/>
        <v>17</v>
      </c>
      <c r="S40" s="98">
        <f t="shared" si="21"/>
        <v>0</v>
      </c>
      <c r="T40" s="356">
        <f t="shared" si="22"/>
        <v>1.1040808032</v>
      </c>
      <c r="U40" s="364">
        <f t="shared" ca="1" si="26"/>
        <v>514795923.79175287</v>
      </c>
      <c r="V40" s="354">
        <f t="shared" si="2"/>
        <v>0.35</v>
      </c>
      <c r="W40" s="365">
        <f t="shared" ca="1" si="27"/>
        <v>180178573.32711351</v>
      </c>
      <c r="X40" s="355">
        <f t="shared" si="12"/>
        <v>21.346399999999999</v>
      </c>
      <c r="Y40" s="364">
        <f t="shared" ca="1" si="28"/>
        <v>3846163.8976698956</v>
      </c>
      <c r="Z40" s="353">
        <f t="shared" si="13"/>
        <v>0.25</v>
      </c>
      <c r="AA40" s="365">
        <f t="shared" si="14"/>
        <v>0</v>
      </c>
      <c r="AB40" s="98">
        <f t="shared" ca="1" si="15"/>
        <v>3846163.8976698956</v>
      </c>
      <c r="AC40" s="366">
        <f t="shared" ca="1" si="16"/>
        <v>2884622.9232524214</v>
      </c>
      <c r="AD40" s="366">
        <f t="shared" ca="1" si="17"/>
        <v>2345221.8888231069</v>
      </c>
      <c r="AE40" s="366">
        <f t="shared" ca="1" si="3"/>
        <v>2345221.8888231069</v>
      </c>
    </row>
    <row r="41" spans="1:31" ht="14.4">
      <c r="A41" s="362">
        <f t="shared" si="18"/>
        <v>0</v>
      </c>
      <c r="B41" s="349">
        <f t="shared" si="4"/>
        <v>18</v>
      </c>
      <c r="C41" s="98">
        <f t="shared" si="19"/>
        <v>122527544.36460757</v>
      </c>
      <c r="D41" s="356">
        <f t="shared" si="20"/>
        <v>1.1261624192640001</v>
      </c>
      <c r="E41" s="364">
        <f t="shared" ca="1" si="23"/>
        <v>525091842.26758796</v>
      </c>
      <c r="F41" s="354">
        <f t="shared" si="0"/>
        <v>0.35</v>
      </c>
      <c r="G41" s="365">
        <f t="shared" ca="1" si="24"/>
        <v>183782144.79365578</v>
      </c>
      <c r="H41" s="355">
        <f t="shared" si="5"/>
        <v>21.346399999999999</v>
      </c>
      <c r="I41" s="364">
        <f t="shared" ca="1" si="25"/>
        <v>3007654.4850646635</v>
      </c>
      <c r="J41" s="353">
        <f t="shared" si="6"/>
        <v>0.25</v>
      </c>
      <c r="K41" s="365">
        <f t="shared" si="7"/>
        <v>915432.69055863062</v>
      </c>
      <c r="L41" s="98">
        <f t="shared" ca="1" si="8"/>
        <v>3923087.175623294</v>
      </c>
      <c r="M41" s="366">
        <f t="shared" ca="1" si="9"/>
        <v>2255740.8637984977</v>
      </c>
      <c r="N41" s="366">
        <f t="shared" ca="1" si="10"/>
        <v>1833935.6616247948</v>
      </c>
      <c r="O41" s="429">
        <f t="shared" ca="1" si="1"/>
        <v>1833935.6616247948</v>
      </c>
      <c r="P41" s="96"/>
      <c r="Q41" s="96"/>
      <c r="R41" s="349">
        <f t="shared" si="11"/>
        <v>18</v>
      </c>
      <c r="S41" s="98">
        <f t="shared" si="21"/>
        <v>0</v>
      </c>
      <c r="T41" s="356">
        <f t="shared" si="22"/>
        <v>1.1261624192640001</v>
      </c>
      <c r="U41" s="364">
        <f t="shared" ca="1" si="26"/>
        <v>525091842.26758796</v>
      </c>
      <c r="V41" s="354">
        <f t="shared" si="2"/>
        <v>0.35</v>
      </c>
      <c r="W41" s="365">
        <f t="shared" ca="1" si="27"/>
        <v>183782144.79365578</v>
      </c>
      <c r="X41" s="355">
        <f t="shared" si="12"/>
        <v>21.346399999999999</v>
      </c>
      <c r="Y41" s="364">
        <f t="shared" ca="1" si="28"/>
        <v>3923087.175623294</v>
      </c>
      <c r="Z41" s="353">
        <f t="shared" si="13"/>
        <v>0.25</v>
      </c>
      <c r="AA41" s="365">
        <f t="shared" si="14"/>
        <v>0</v>
      </c>
      <c r="AB41" s="98">
        <f t="shared" ca="1" si="15"/>
        <v>3923087.175623294</v>
      </c>
      <c r="AC41" s="366">
        <f t="shared" ca="1" si="16"/>
        <v>2942315.3817174705</v>
      </c>
      <c r="AD41" s="366">
        <f t="shared" ca="1" si="17"/>
        <v>2392126.3265995695</v>
      </c>
      <c r="AE41" s="366">
        <f t="shared" ca="1" si="3"/>
        <v>2392126.3265995695</v>
      </c>
    </row>
    <row r="42" spans="1:31" ht="14.4">
      <c r="A42" s="362">
        <f t="shared" si="18"/>
        <v>1</v>
      </c>
      <c r="B42" s="349">
        <f t="shared" si="4"/>
        <v>19</v>
      </c>
      <c r="C42" s="98">
        <f t="shared" si="19"/>
        <v>137985915.78812355</v>
      </c>
      <c r="D42" s="356">
        <f t="shared" si="20"/>
        <v>1.1261624192640001</v>
      </c>
      <c r="E42" s="364">
        <f t="shared" ca="1" si="23"/>
        <v>525091842.26758796</v>
      </c>
      <c r="F42" s="354">
        <f t="shared" si="0"/>
        <v>0.35</v>
      </c>
      <c r="G42" s="365">
        <f t="shared" ca="1" si="24"/>
        <v>183782144.79365578</v>
      </c>
      <c r="H42" s="355">
        <f t="shared" si="5"/>
        <v>21.346399999999999</v>
      </c>
      <c r="I42" s="364">
        <f t="shared" ca="1" si="25"/>
        <v>2892161.2821504339</v>
      </c>
      <c r="J42" s="353">
        <f t="shared" si="6"/>
        <v>0.25</v>
      </c>
      <c r="K42" s="365">
        <f t="shared" si="7"/>
        <v>1030925.89347286</v>
      </c>
      <c r="L42" s="98">
        <f t="shared" ca="1" si="8"/>
        <v>3923087.175623294</v>
      </c>
      <c r="M42" s="366">
        <f t="shared" ca="1" si="9"/>
        <v>2169120.9616128253</v>
      </c>
      <c r="N42" s="366">
        <f t="shared" ca="1" si="10"/>
        <v>1763512.9769209961</v>
      </c>
      <c r="O42" s="429">
        <f t="shared" ca="1" si="1"/>
        <v>1763512.9769209961</v>
      </c>
      <c r="P42" s="96"/>
      <c r="Q42" s="96"/>
      <c r="R42" s="349">
        <f t="shared" si="11"/>
        <v>19</v>
      </c>
      <c r="S42" s="98">
        <f t="shared" si="21"/>
        <v>0</v>
      </c>
      <c r="T42" s="356">
        <f t="shared" si="22"/>
        <v>1.1261624192640001</v>
      </c>
      <c r="U42" s="364">
        <f t="shared" ca="1" si="26"/>
        <v>525091842.26758796</v>
      </c>
      <c r="V42" s="354">
        <f t="shared" si="2"/>
        <v>0.35</v>
      </c>
      <c r="W42" s="365">
        <f t="shared" ca="1" si="27"/>
        <v>183782144.79365578</v>
      </c>
      <c r="X42" s="355">
        <f t="shared" si="12"/>
        <v>21.346399999999999</v>
      </c>
      <c r="Y42" s="364">
        <f t="shared" ca="1" si="28"/>
        <v>3923087.175623294</v>
      </c>
      <c r="Z42" s="353">
        <f t="shared" si="13"/>
        <v>0.25</v>
      </c>
      <c r="AA42" s="365">
        <f t="shared" si="14"/>
        <v>0</v>
      </c>
      <c r="AB42" s="98">
        <f t="shared" ca="1" si="15"/>
        <v>3923087.175623294</v>
      </c>
      <c r="AC42" s="366">
        <f t="shared" ca="1" si="16"/>
        <v>2942315.3817174705</v>
      </c>
      <c r="AD42" s="366">
        <f t="shared" ca="1" si="17"/>
        <v>2392126.3265995695</v>
      </c>
      <c r="AE42" s="366">
        <f t="shared" ca="1" si="3"/>
        <v>2392126.3265995695</v>
      </c>
    </row>
    <row r="43" spans="1:31" ht="14.4">
      <c r="A43" s="362">
        <f t="shared" si="18"/>
        <v>2</v>
      </c>
      <c r="B43" s="349">
        <f t="shared" si="4"/>
        <v>20</v>
      </c>
      <c r="C43" s="98">
        <f t="shared" si="19"/>
        <v>155394552.74831179</v>
      </c>
      <c r="D43" s="356">
        <f t="shared" si="20"/>
        <v>1.1261624192640001</v>
      </c>
      <c r="E43" s="364">
        <f t="shared" ca="1" si="23"/>
        <v>525091842.26758796</v>
      </c>
      <c r="F43" s="354">
        <f t="shared" si="0"/>
        <v>0.35</v>
      </c>
      <c r="G43" s="365">
        <f t="shared" ca="1" si="24"/>
        <v>183782144.79365578</v>
      </c>
      <c r="H43" s="355">
        <f t="shared" si="5"/>
        <v>21.346399999999999</v>
      </c>
      <c r="I43" s="364">
        <f t="shared" ca="1" si="25"/>
        <v>2762097.1773479972</v>
      </c>
      <c r="J43" s="353">
        <f t="shared" si="6"/>
        <v>0.25</v>
      </c>
      <c r="K43" s="365">
        <f t="shared" si="7"/>
        <v>1160989.9982752968</v>
      </c>
      <c r="L43" s="98">
        <f t="shared" ca="1" si="8"/>
        <v>3923087.175623294</v>
      </c>
      <c r="M43" s="366">
        <f t="shared" ca="1" si="9"/>
        <v>2071572.8830109979</v>
      </c>
      <c r="N43" s="366">
        <f t="shared" ca="1" si="10"/>
        <v>1684205.5959439008</v>
      </c>
      <c r="O43" s="429">
        <f t="shared" ca="1" si="1"/>
        <v>1684205.5959439008</v>
      </c>
      <c r="P43" s="96"/>
      <c r="Q43" s="96"/>
      <c r="R43" s="349">
        <f t="shared" si="11"/>
        <v>20</v>
      </c>
      <c r="S43" s="98">
        <f t="shared" si="21"/>
        <v>0</v>
      </c>
      <c r="T43" s="356">
        <f t="shared" si="22"/>
        <v>1.1261624192640001</v>
      </c>
      <c r="U43" s="364">
        <f t="shared" ca="1" si="26"/>
        <v>525091842.26758796</v>
      </c>
      <c r="V43" s="354">
        <f t="shared" si="2"/>
        <v>0.35</v>
      </c>
      <c r="W43" s="365">
        <f t="shared" ca="1" si="27"/>
        <v>183782144.79365578</v>
      </c>
      <c r="X43" s="355">
        <f t="shared" si="12"/>
        <v>21.346399999999999</v>
      </c>
      <c r="Y43" s="364">
        <f t="shared" ca="1" si="28"/>
        <v>3923087.175623294</v>
      </c>
      <c r="Z43" s="353">
        <f t="shared" si="13"/>
        <v>0.25</v>
      </c>
      <c r="AA43" s="365">
        <f t="shared" si="14"/>
        <v>0</v>
      </c>
      <c r="AB43" s="98">
        <f t="shared" ca="1" si="15"/>
        <v>3923087.175623294</v>
      </c>
      <c r="AC43" s="366">
        <f t="shared" ca="1" si="16"/>
        <v>2942315.3817174705</v>
      </c>
      <c r="AD43" s="366">
        <f t="shared" ca="1" si="17"/>
        <v>2392126.3265995695</v>
      </c>
      <c r="AE43" s="366">
        <f t="shared" ca="1" si="3"/>
        <v>2392126.3265995695</v>
      </c>
    </row>
    <row r="44" spans="1:31" ht="14.4">
      <c r="A44" s="362">
        <f t="shared" si="18"/>
        <v>0</v>
      </c>
      <c r="B44" s="349">
        <f t="shared" si="4"/>
        <v>21</v>
      </c>
      <c r="C44" s="98">
        <f t="shared" si="19"/>
        <v>178499495.57275578</v>
      </c>
      <c r="D44" s="356">
        <f t="shared" si="20"/>
        <v>1.14868566764928</v>
      </c>
      <c r="E44" s="364">
        <f t="shared" ca="1" si="23"/>
        <v>535593679.11293972</v>
      </c>
      <c r="F44" s="354">
        <f t="shared" si="0"/>
        <v>0.35</v>
      </c>
      <c r="G44" s="365">
        <f t="shared" ca="1" si="24"/>
        <v>187457787.68952888</v>
      </c>
      <c r="H44" s="355">
        <f t="shared" si="5"/>
        <v>21.346399999999999</v>
      </c>
      <c r="I44" s="364">
        <f t="shared" ca="1" si="25"/>
        <v>2667936.3478327636</v>
      </c>
      <c r="J44" s="353">
        <f t="shared" si="6"/>
        <v>0.25</v>
      </c>
      <c r="K44" s="365">
        <f t="shared" si="7"/>
        <v>1333612.5713029958</v>
      </c>
      <c r="L44" s="98">
        <f t="shared" ca="1" si="8"/>
        <v>4001548.9191357596</v>
      </c>
      <c r="M44" s="366">
        <f t="shared" ca="1" si="9"/>
        <v>2000952.2608745727</v>
      </c>
      <c r="N44" s="366">
        <f t="shared" ca="1" si="10"/>
        <v>1626790.4559955876</v>
      </c>
      <c r="O44" s="429">
        <f t="shared" ca="1" si="1"/>
        <v>1626790.4559955876</v>
      </c>
      <c r="P44" s="96"/>
      <c r="Q44" s="96"/>
      <c r="R44" s="349">
        <f t="shared" si="11"/>
        <v>21</v>
      </c>
      <c r="S44" s="98">
        <f t="shared" si="21"/>
        <v>0</v>
      </c>
      <c r="T44" s="356">
        <f t="shared" si="22"/>
        <v>1.14868566764928</v>
      </c>
      <c r="U44" s="364">
        <f t="shared" ca="1" si="26"/>
        <v>535593679.11293972</v>
      </c>
      <c r="V44" s="354">
        <f t="shared" si="2"/>
        <v>0.35</v>
      </c>
      <c r="W44" s="365">
        <f t="shared" ca="1" si="27"/>
        <v>187457787.68952888</v>
      </c>
      <c r="X44" s="355">
        <f t="shared" si="12"/>
        <v>21.346399999999999</v>
      </c>
      <c r="Y44" s="364">
        <f t="shared" ca="1" si="28"/>
        <v>4001548.9191357596</v>
      </c>
      <c r="Z44" s="353">
        <f t="shared" si="13"/>
        <v>0.25</v>
      </c>
      <c r="AA44" s="365">
        <f t="shared" si="14"/>
        <v>0</v>
      </c>
      <c r="AB44" s="98">
        <f t="shared" ca="1" si="15"/>
        <v>4001548.9191357596</v>
      </c>
      <c r="AC44" s="366">
        <f t="shared" ca="1" si="16"/>
        <v>3001161.6893518195</v>
      </c>
      <c r="AD44" s="366">
        <f t="shared" ca="1" si="17"/>
        <v>2439968.8531315606</v>
      </c>
      <c r="AE44" s="366">
        <f t="shared" ca="1" si="3"/>
        <v>2439968.8531315606</v>
      </c>
    </row>
    <row r="45" spans="1:31" ht="14.4">
      <c r="A45" s="362">
        <f t="shared" si="18"/>
        <v>1</v>
      </c>
      <c r="B45" s="349">
        <f t="shared" si="4"/>
        <v>22</v>
      </c>
      <c r="C45" s="98">
        <f t="shared" si="19"/>
        <v>205039812.24705067</v>
      </c>
      <c r="D45" s="356">
        <f t="shared" si="20"/>
        <v>1.14868566764928</v>
      </c>
      <c r="E45" s="364">
        <f t="shared" ca="1" si="23"/>
        <v>535593679.11293972</v>
      </c>
      <c r="F45" s="354">
        <f t="shared" si="0"/>
        <v>0.35</v>
      </c>
      <c r="G45" s="365">
        <f t="shared" ca="1" si="24"/>
        <v>187457787.68952888</v>
      </c>
      <c r="H45" s="355">
        <f t="shared" si="5"/>
        <v>21.346399999999999</v>
      </c>
      <c r="I45" s="364">
        <f t="shared" ca="1" si="25"/>
        <v>2469647.2722831052</v>
      </c>
      <c r="J45" s="353">
        <f t="shared" si="6"/>
        <v>0.25</v>
      </c>
      <c r="K45" s="365">
        <f t="shared" si="7"/>
        <v>1531901.6468526546</v>
      </c>
      <c r="L45" s="98">
        <f t="shared" ca="1" si="8"/>
        <v>4001548.9191357596</v>
      </c>
      <c r="M45" s="366">
        <f t="shared" ca="1" si="9"/>
        <v>1852235.4542123289</v>
      </c>
      <c r="N45" s="366">
        <f t="shared" ca="1" si="10"/>
        <v>1505882.4830994543</v>
      </c>
      <c r="O45" s="429">
        <f t="shared" ca="1" si="1"/>
        <v>1505882.4830994543</v>
      </c>
      <c r="P45" s="96"/>
      <c r="Q45" s="96"/>
      <c r="R45" s="349">
        <f t="shared" si="11"/>
        <v>22</v>
      </c>
      <c r="S45" s="98">
        <f t="shared" si="21"/>
        <v>0</v>
      </c>
      <c r="T45" s="356">
        <f t="shared" si="22"/>
        <v>1.14868566764928</v>
      </c>
      <c r="U45" s="364">
        <f t="shared" ca="1" si="26"/>
        <v>535593679.11293972</v>
      </c>
      <c r="V45" s="354">
        <f t="shared" si="2"/>
        <v>0.35</v>
      </c>
      <c r="W45" s="365">
        <f t="shared" ca="1" si="27"/>
        <v>187457787.68952888</v>
      </c>
      <c r="X45" s="355">
        <f t="shared" si="12"/>
        <v>21.346399999999999</v>
      </c>
      <c r="Y45" s="364">
        <f t="shared" ca="1" si="28"/>
        <v>4001548.9191357596</v>
      </c>
      <c r="Z45" s="353">
        <f t="shared" si="13"/>
        <v>0.25</v>
      </c>
      <c r="AA45" s="365">
        <f t="shared" si="14"/>
        <v>0</v>
      </c>
      <c r="AB45" s="98">
        <f t="shared" ca="1" si="15"/>
        <v>4001548.9191357596</v>
      </c>
      <c r="AC45" s="366">
        <f t="shared" ca="1" si="16"/>
        <v>3001161.6893518195</v>
      </c>
      <c r="AD45" s="366">
        <f t="shared" ca="1" si="17"/>
        <v>2439968.8531315606</v>
      </c>
      <c r="AE45" s="366">
        <f t="shared" ca="1" si="3"/>
        <v>2439968.8531315606</v>
      </c>
    </row>
    <row r="46" spans="1:31" ht="14.4">
      <c r="A46" s="362">
        <f t="shared" si="18"/>
        <v>2</v>
      </c>
      <c r="B46" s="349">
        <f t="shared" si="4"/>
        <v>23</v>
      </c>
      <c r="C46" s="98">
        <f t="shared" si="19"/>
        <v>235526293.62568644</v>
      </c>
      <c r="D46" s="356">
        <f t="shared" si="20"/>
        <v>1.14868566764928</v>
      </c>
      <c r="E46" s="364">
        <f t="shared" ca="1" si="23"/>
        <v>535593679.11293972</v>
      </c>
      <c r="F46" s="354">
        <f t="shared" si="0"/>
        <v>0.35</v>
      </c>
      <c r="G46" s="365">
        <f t="shared" ca="1" si="24"/>
        <v>187457787.68952888</v>
      </c>
      <c r="H46" s="355">
        <f t="shared" si="5"/>
        <v>21.346399999999999</v>
      </c>
      <c r="I46" s="364">
        <f t="shared" ca="1" si="25"/>
        <v>2241875.4531477867</v>
      </c>
      <c r="J46" s="353">
        <f t="shared" si="6"/>
        <v>0.25</v>
      </c>
      <c r="K46" s="365">
        <f t="shared" si="7"/>
        <v>1759673.4659879731</v>
      </c>
      <c r="L46" s="98">
        <f t="shared" ca="1" si="8"/>
        <v>4001548.9191357596</v>
      </c>
      <c r="M46" s="366">
        <f t="shared" ca="1" si="9"/>
        <v>1681406.58986084</v>
      </c>
      <c r="N46" s="366">
        <f t="shared" ca="1" si="10"/>
        <v>1366997.2275291383</v>
      </c>
      <c r="O46" s="429">
        <f t="shared" ca="1" si="1"/>
        <v>1366997.2275291383</v>
      </c>
      <c r="P46" s="96"/>
      <c r="Q46" s="96"/>
      <c r="R46" s="349">
        <f t="shared" si="11"/>
        <v>23</v>
      </c>
      <c r="S46" s="98">
        <f t="shared" si="21"/>
        <v>0</v>
      </c>
      <c r="T46" s="356">
        <f t="shared" si="22"/>
        <v>1.14868566764928</v>
      </c>
      <c r="U46" s="364">
        <f t="shared" ca="1" si="26"/>
        <v>535593679.11293972</v>
      </c>
      <c r="V46" s="354">
        <f t="shared" si="2"/>
        <v>0.35</v>
      </c>
      <c r="W46" s="365">
        <f t="shared" ca="1" si="27"/>
        <v>187457787.68952888</v>
      </c>
      <c r="X46" s="355">
        <f t="shared" si="12"/>
        <v>21.346399999999999</v>
      </c>
      <c r="Y46" s="364">
        <f t="shared" ca="1" si="28"/>
        <v>4001548.9191357596</v>
      </c>
      <c r="Z46" s="353">
        <f t="shared" si="13"/>
        <v>0.25</v>
      </c>
      <c r="AA46" s="365">
        <f t="shared" si="14"/>
        <v>0</v>
      </c>
      <c r="AB46" s="98">
        <f t="shared" ca="1" si="15"/>
        <v>4001548.9191357596</v>
      </c>
      <c r="AC46" s="366">
        <f t="shared" ca="1" si="16"/>
        <v>3001161.6893518195</v>
      </c>
      <c r="AD46" s="366">
        <f t="shared" ca="1" si="17"/>
        <v>2439968.8531315606</v>
      </c>
      <c r="AE46" s="366">
        <f t="shared" ca="1" si="3"/>
        <v>2439968.8531315606</v>
      </c>
    </row>
    <row r="47" spans="1:31" ht="14.4">
      <c r="A47" s="362">
        <f t="shared" si="18"/>
        <v>0</v>
      </c>
      <c r="B47" s="349">
        <f t="shared" si="4"/>
        <v>24</v>
      </c>
      <c r="C47" s="98">
        <f t="shared" si="19"/>
        <v>275956591.39922965</v>
      </c>
      <c r="D47" s="356">
        <f t="shared" si="20"/>
        <v>1.1716593810022657</v>
      </c>
      <c r="E47" s="364">
        <f t="shared" ca="1" si="23"/>
        <v>546305552.69519854</v>
      </c>
      <c r="F47" s="354">
        <f t="shared" si="0"/>
        <v>0.35</v>
      </c>
      <c r="G47" s="365">
        <f t="shared" ca="1" si="24"/>
        <v>191206943.44331947</v>
      </c>
      <c r="H47" s="355">
        <f t="shared" si="5"/>
        <v>21.346399999999999</v>
      </c>
      <c r="I47" s="364">
        <f t="shared" ca="1" si="25"/>
        <v>2019841.9735928944</v>
      </c>
      <c r="J47" s="353">
        <f t="shared" si="6"/>
        <v>0.25</v>
      </c>
      <c r="K47" s="365">
        <f t="shared" si="7"/>
        <v>2061737.9239255802</v>
      </c>
      <c r="L47" s="98">
        <f t="shared" ca="1" si="8"/>
        <v>4081579.8975184746</v>
      </c>
      <c r="M47" s="366">
        <f t="shared" ca="1" si="9"/>
        <v>1514881.4801946708</v>
      </c>
      <c r="N47" s="366">
        <f t="shared" ca="1" si="10"/>
        <v>1231610.9595078626</v>
      </c>
      <c r="O47" s="429">
        <f t="shared" ca="1" si="1"/>
        <v>1231610.9595078626</v>
      </c>
      <c r="P47" s="96"/>
      <c r="Q47" s="96"/>
      <c r="R47" s="349">
        <f t="shared" si="11"/>
        <v>24</v>
      </c>
      <c r="S47" s="98">
        <f t="shared" si="21"/>
        <v>0</v>
      </c>
      <c r="T47" s="356">
        <f t="shared" si="22"/>
        <v>1.1716593810022657</v>
      </c>
      <c r="U47" s="364">
        <f t="shared" ca="1" si="26"/>
        <v>546305552.69519854</v>
      </c>
      <c r="V47" s="354">
        <f t="shared" si="2"/>
        <v>0.35</v>
      </c>
      <c r="W47" s="365">
        <f t="shared" ca="1" si="27"/>
        <v>191206943.44331947</v>
      </c>
      <c r="X47" s="355">
        <f t="shared" si="12"/>
        <v>21.346399999999999</v>
      </c>
      <c r="Y47" s="364">
        <f t="shared" ca="1" si="28"/>
        <v>4081579.8975184746</v>
      </c>
      <c r="Z47" s="353">
        <f t="shared" si="13"/>
        <v>0.25</v>
      </c>
      <c r="AA47" s="365">
        <f t="shared" si="14"/>
        <v>0</v>
      </c>
      <c r="AB47" s="98">
        <f t="shared" ca="1" si="15"/>
        <v>4081579.8975184746</v>
      </c>
      <c r="AC47" s="366">
        <f t="shared" ca="1" si="16"/>
        <v>3061184.923138856</v>
      </c>
      <c r="AD47" s="366">
        <f t="shared" ca="1" si="17"/>
        <v>2488768.2301941919</v>
      </c>
      <c r="AE47" s="366">
        <f t="shared" ca="1" si="3"/>
        <v>2488768.2301941919</v>
      </c>
    </row>
    <row r="48" spans="1:31" ht="14.4">
      <c r="A48" s="362">
        <f t="shared" si="18"/>
        <v>1</v>
      </c>
      <c r="B48" s="349">
        <f t="shared" si="4"/>
        <v>25</v>
      </c>
      <c r="C48" s="98">
        <f t="shared" si="19"/>
        <v>323327129.0623166</v>
      </c>
      <c r="D48" s="356">
        <f t="shared" si="20"/>
        <v>1.1716593810022657</v>
      </c>
      <c r="E48" s="364">
        <f t="shared" ca="1" si="23"/>
        <v>546305552.69519854</v>
      </c>
      <c r="F48" s="354">
        <f t="shared" si="0"/>
        <v>0.35</v>
      </c>
      <c r="G48" s="365">
        <f t="shared" ca="1" si="24"/>
        <v>191206943.44331947</v>
      </c>
      <c r="H48" s="355">
        <f t="shared" si="5"/>
        <v>21.346399999999999</v>
      </c>
      <c r="I48" s="364">
        <f t="shared" ca="1" si="25"/>
        <v>1665925.3177829329</v>
      </c>
      <c r="J48" s="353">
        <f t="shared" si="6"/>
        <v>0.25</v>
      </c>
      <c r="K48" s="365">
        <f t="shared" si="7"/>
        <v>2415654.5797355417</v>
      </c>
      <c r="L48" s="98">
        <f t="shared" ca="1" si="8"/>
        <v>4081579.8975184746</v>
      </c>
      <c r="M48" s="366">
        <f t="shared" ca="1" si="9"/>
        <v>1249443.9883371997</v>
      </c>
      <c r="N48" s="366">
        <f t="shared" ca="1" si="10"/>
        <v>1015808.1205993494</v>
      </c>
      <c r="O48" s="429">
        <f t="shared" ca="1" si="1"/>
        <v>1015808.1205993494</v>
      </c>
      <c r="P48" s="96"/>
      <c r="Q48" s="96"/>
      <c r="R48" s="349">
        <f t="shared" si="11"/>
        <v>25</v>
      </c>
      <c r="S48" s="98">
        <f t="shared" si="21"/>
        <v>0</v>
      </c>
      <c r="T48" s="356">
        <f t="shared" si="22"/>
        <v>1.1716593810022657</v>
      </c>
      <c r="U48" s="364">
        <f t="shared" ca="1" si="26"/>
        <v>546305552.69519854</v>
      </c>
      <c r="V48" s="354">
        <f t="shared" si="2"/>
        <v>0.35</v>
      </c>
      <c r="W48" s="365">
        <f t="shared" ca="1" si="27"/>
        <v>191206943.44331947</v>
      </c>
      <c r="X48" s="355">
        <f t="shared" si="12"/>
        <v>21.346399999999999</v>
      </c>
      <c r="Y48" s="364">
        <f t="shared" ca="1" si="28"/>
        <v>4081579.8975184746</v>
      </c>
      <c r="Z48" s="353">
        <f t="shared" si="13"/>
        <v>0.25</v>
      </c>
      <c r="AA48" s="365">
        <f t="shared" si="14"/>
        <v>0</v>
      </c>
      <c r="AB48" s="98">
        <f t="shared" ca="1" si="15"/>
        <v>4081579.8975184746</v>
      </c>
      <c r="AC48" s="366">
        <f t="shared" ca="1" si="16"/>
        <v>3061184.923138856</v>
      </c>
      <c r="AD48" s="366">
        <f t="shared" ca="1" si="17"/>
        <v>2488768.2301941919</v>
      </c>
      <c r="AE48" s="366">
        <f t="shared" ca="1" si="3"/>
        <v>2488768.2301941919</v>
      </c>
    </row>
    <row r="49" spans="1:31" ht="14.4">
      <c r="A49" s="362">
        <f t="shared" si="18"/>
        <v>2</v>
      </c>
      <c r="B49" s="349">
        <f t="shared" si="4"/>
        <v>26</v>
      </c>
      <c r="C49" s="98">
        <f t="shared" si="19"/>
        <v>378829263.89839357</v>
      </c>
      <c r="D49" s="356">
        <f t="shared" si="20"/>
        <v>1.1716593810022657</v>
      </c>
      <c r="E49" s="364">
        <f t="shared" ca="1" si="23"/>
        <v>546305552.69519854</v>
      </c>
      <c r="F49" s="354">
        <f t="shared" si="0"/>
        <v>0.35</v>
      </c>
      <c r="G49" s="365">
        <f t="shared" ca="1" si="24"/>
        <v>191206943.44331947</v>
      </c>
      <c r="H49" s="355">
        <f t="shared" si="5"/>
        <v>21.346399999999999</v>
      </c>
      <c r="I49" s="364">
        <f t="shared" ca="1" si="25"/>
        <v>1251255.5479102409</v>
      </c>
      <c r="J49" s="353">
        <f t="shared" si="6"/>
        <v>0.25</v>
      </c>
      <c r="K49" s="365">
        <f t="shared" si="7"/>
        <v>2830324.3496082337</v>
      </c>
      <c r="L49" s="98">
        <f t="shared" ca="1" si="8"/>
        <v>4081579.8975184746</v>
      </c>
      <c r="M49" s="366">
        <f t="shared" ca="1" si="9"/>
        <v>938441.66093268071</v>
      </c>
      <c r="N49" s="366">
        <f t="shared" ca="1" si="10"/>
        <v>762960.69994526892</v>
      </c>
      <c r="O49" s="429">
        <f t="shared" ca="1" si="1"/>
        <v>762960.69994526892</v>
      </c>
      <c r="P49" s="96"/>
      <c r="Q49" s="96"/>
      <c r="R49" s="349">
        <f t="shared" si="11"/>
        <v>26</v>
      </c>
      <c r="S49" s="98">
        <f t="shared" si="21"/>
        <v>0</v>
      </c>
      <c r="T49" s="356">
        <f t="shared" si="22"/>
        <v>1.1716593810022657</v>
      </c>
      <c r="U49" s="364">
        <f t="shared" ca="1" si="26"/>
        <v>546305552.69519854</v>
      </c>
      <c r="V49" s="354">
        <f t="shared" si="2"/>
        <v>0.35</v>
      </c>
      <c r="W49" s="365">
        <f t="shared" ca="1" si="27"/>
        <v>191206943.44331947</v>
      </c>
      <c r="X49" s="355">
        <f t="shared" si="12"/>
        <v>21.346399999999999</v>
      </c>
      <c r="Y49" s="364">
        <f t="shared" ca="1" si="28"/>
        <v>4081579.8975184746</v>
      </c>
      <c r="Z49" s="353">
        <f t="shared" si="13"/>
        <v>0.25</v>
      </c>
      <c r="AA49" s="365">
        <f t="shared" si="14"/>
        <v>0</v>
      </c>
      <c r="AB49" s="98">
        <f t="shared" ca="1" si="15"/>
        <v>4081579.8975184746</v>
      </c>
      <c r="AC49" s="366">
        <f t="shared" ca="1" si="16"/>
        <v>3061184.923138856</v>
      </c>
      <c r="AD49" s="366">
        <f t="shared" ca="1" si="17"/>
        <v>2488768.2301941919</v>
      </c>
      <c r="AE49" s="366">
        <f t="shared" ca="1" si="3"/>
        <v>2488768.2301941919</v>
      </c>
    </row>
    <row r="50" spans="1:31" ht="14.4">
      <c r="A50" s="362">
        <f t="shared" si="18"/>
        <v>0</v>
      </c>
      <c r="B50" s="349">
        <f t="shared" si="4"/>
        <v>27</v>
      </c>
      <c r="C50" s="98">
        <f t="shared" si="19"/>
        <v>452736038.06163049</v>
      </c>
      <c r="D50" s="356">
        <f t="shared" si="20"/>
        <v>1.1950925686223111</v>
      </c>
      <c r="E50" s="364">
        <f t="shared" ca="1" si="23"/>
        <v>557231663.74910247</v>
      </c>
      <c r="F50" s="354">
        <f t="shared" si="0"/>
        <v>0.35</v>
      </c>
      <c r="G50" s="365">
        <f t="shared" ca="1" si="24"/>
        <v>195031082.31218585</v>
      </c>
      <c r="H50" s="355">
        <f t="shared" si="5"/>
        <v>21.346399999999999</v>
      </c>
      <c r="I50" s="364">
        <f t="shared" ca="1" si="25"/>
        <v>780711.89846126828</v>
      </c>
      <c r="J50" s="353">
        <f t="shared" si="6"/>
        <v>0.25</v>
      </c>
      <c r="K50" s="365">
        <f t="shared" si="7"/>
        <v>3382499.5970075754</v>
      </c>
      <c r="L50" s="98">
        <f t="shared" ca="1" si="8"/>
        <v>4163211.4954688437</v>
      </c>
      <c r="M50" s="366">
        <f t="shared" ca="1" si="9"/>
        <v>585533.92384595121</v>
      </c>
      <c r="N50" s="366">
        <f t="shared" ca="1" si="10"/>
        <v>476043.84052516357</v>
      </c>
      <c r="O50" s="429">
        <f t="shared" ca="1" si="1"/>
        <v>476043.84052516357</v>
      </c>
      <c r="P50" s="96"/>
      <c r="Q50" s="96"/>
      <c r="R50" s="349">
        <f t="shared" si="11"/>
        <v>27</v>
      </c>
      <c r="S50" s="98">
        <f t="shared" si="21"/>
        <v>0</v>
      </c>
      <c r="T50" s="356">
        <f t="shared" si="22"/>
        <v>1.1950925686223111</v>
      </c>
      <c r="U50" s="364">
        <f t="shared" ca="1" si="26"/>
        <v>557231663.74910247</v>
      </c>
      <c r="V50" s="354">
        <f t="shared" si="2"/>
        <v>0.35</v>
      </c>
      <c r="W50" s="365">
        <f t="shared" ca="1" si="27"/>
        <v>195031082.31218585</v>
      </c>
      <c r="X50" s="355">
        <f t="shared" si="12"/>
        <v>21.346399999999999</v>
      </c>
      <c r="Y50" s="364">
        <f t="shared" ca="1" si="28"/>
        <v>4163211.4954688437</v>
      </c>
      <c r="Z50" s="353">
        <f t="shared" si="13"/>
        <v>0.25</v>
      </c>
      <c r="AA50" s="365">
        <f t="shared" si="14"/>
        <v>0</v>
      </c>
      <c r="AB50" s="98">
        <f t="shared" ca="1" si="15"/>
        <v>4163211.4954688437</v>
      </c>
      <c r="AC50" s="366">
        <f t="shared" ca="1" si="16"/>
        <v>3122408.6216016328</v>
      </c>
      <c r="AD50" s="366">
        <f t="shared" ca="1" si="17"/>
        <v>2538543.5947980755</v>
      </c>
      <c r="AE50" s="366">
        <f t="shared" ca="1" si="3"/>
        <v>2538543.5947980755</v>
      </c>
    </row>
    <row r="51" spans="1:31" ht="14.4">
      <c r="A51" s="362">
        <f t="shared" si="18"/>
        <v>1</v>
      </c>
      <c r="B51" s="349">
        <f t="shared" si="4"/>
        <v>28</v>
      </c>
      <c r="C51" s="98">
        <f t="shared" si="19"/>
        <v>541061474.63496232</v>
      </c>
      <c r="D51" s="356">
        <f t="shared" si="20"/>
        <v>1.1950925686223111</v>
      </c>
      <c r="E51" s="364">
        <f t="shared" ca="1" si="23"/>
        <v>557231663.74910247</v>
      </c>
      <c r="F51" s="354">
        <f t="shared" si="0"/>
        <v>0.35</v>
      </c>
      <c r="G51" s="365">
        <f t="shared" ca="1" si="24"/>
        <v>195031082.31218585</v>
      </c>
      <c r="H51" s="355">
        <f t="shared" si="5"/>
        <v>21.346399999999999</v>
      </c>
      <c r="I51" s="364">
        <f t="shared" ca="1" si="25"/>
        <v>120811.36371712852</v>
      </c>
      <c r="J51" s="353">
        <f t="shared" si="6"/>
        <v>0.25</v>
      </c>
      <c r="K51" s="365">
        <f t="shared" si="7"/>
        <v>4042400.1317517152</v>
      </c>
      <c r="L51" s="98">
        <f t="shared" ca="1" si="8"/>
        <v>4163211.4954688437</v>
      </c>
      <c r="M51" s="366">
        <f t="shared" ca="1" si="9"/>
        <v>90608.522787846392</v>
      </c>
      <c r="N51" s="366">
        <f t="shared" ca="1" si="10"/>
        <v>73665.465681175934</v>
      </c>
      <c r="O51" s="429">
        <f t="shared" ca="1" si="1"/>
        <v>73665.465681175934</v>
      </c>
      <c r="P51" s="96"/>
      <c r="Q51" s="96"/>
      <c r="R51" s="349">
        <f t="shared" si="11"/>
        <v>28</v>
      </c>
      <c r="S51" s="98">
        <f t="shared" si="21"/>
        <v>0</v>
      </c>
      <c r="T51" s="356">
        <f t="shared" si="22"/>
        <v>1.1950925686223111</v>
      </c>
      <c r="U51" s="364">
        <f t="shared" ca="1" si="26"/>
        <v>557231663.74910247</v>
      </c>
      <c r="V51" s="354">
        <f t="shared" si="2"/>
        <v>0.35</v>
      </c>
      <c r="W51" s="365">
        <f t="shared" ca="1" si="27"/>
        <v>195031082.31218585</v>
      </c>
      <c r="X51" s="355">
        <f t="shared" si="12"/>
        <v>21.346399999999999</v>
      </c>
      <c r="Y51" s="364">
        <f t="shared" ca="1" si="28"/>
        <v>4163211.4954688437</v>
      </c>
      <c r="Z51" s="353">
        <f t="shared" si="13"/>
        <v>0.25</v>
      </c>
      <c r="AA51" s="365">
        <f t="shared" si="14"/>
        <v>0</v>
      </c>
      <c r="AB51" s="98">
        <f t="shared" ca="1" si="15"/>
        <v>4163211.4954688437</v>
      </c>
      <c r="AC51" s="366">
        <f t="shared" ca="1" si="16"/>
        <v>3122408.6216016328</v>
      </c>
      <c r="AD51" s="366">
        <f t="shared" ca="1" si="17"/>
        <v>2538543.5947980755</v>
      </c>
      <c r="AE51" s="366">
        <f t="shared" ca="1" si="3"/>
        <v>2538543.5947980755</v>
      </c>
    </row>
    <row r="52" spans="1:31" ht="14.4">
      <c r="A52" s="362">
        <f t="shared" si="18"/>
        <v>2</v>
      </c>
      <c r="B52" s="349">
        <f t="shared" si="4"/>
        <v>29</v>
      </c>
      <c r="C52" s="98">
        <f t="shared" si="19"/>
        <v>646618547.50407255</v>
      </c>
      <c r="D52" s="356">
        <f t="shared" si="20"/>
        <v>1.1950925686223111</v>
      </c>
      <c r="E52" s="364">
        <f t="shared" ca="1" si="23"/>
        <v>557231663.74910247</v>
      </c>
      <c r="F52" s="354">
        <f t="shared" si="0"/>
        <v>0.35</v>
      </c>
      <c r="G52" s="365">
        <f t="shared" ca="1" si="24"/>
        <v>195031082.31218585</v>
      </c>
      <c r="H52" s="355">
        <f t="shared" si="5"/>
        <v>21.346399999999999</v>
      </c>
      <c r="I52" s="364">
        <f t="shared" ca="1" si="25"/>
        <v>0</v>
      </c>
      <c r="J52" s="353">
        <f t="shared" si="6"/>
        <v>0.25</v>
      </c>
      <c r="K52" s="365">
        <f t="shared" si="7"/>
        <v>4831042.3568543261</v>
      </c>
      <c r="L52" s="98">
        <f t="shared" ca="1" si="8"/>
        <v>4831042.3568543261</v>
      </c>
      <c r="M52" s="366">
        <f t="shared" ca="1" si="9"/>
        <v>0</v>
      </c>
      <c r="N52" s="366">
        <f t="shared" ca="1" si="10"/>
        <v>0</v>
      </c>
      <c r="O52" s="429" t="str">
        <f t="shared" ca="1" si="1"/>
        <v/>
      </c>
      <c r="P52" s="96"/>
      <c r="Q52" s="96"/>
      <c r="R52" s="349">
        <f t="shared" si="11"/>
        <v>29</v>
      </c>
      <c r="S52" s="98">
        <f t="shared" si="21"/>
        <v>0</v>
      </c>
      <c r="T52" s="356">
        <f t="shared" si="22"/>
        <v>1.1950925686223111</v>
      </c>
      <c r="U52" s="364">
        <f t="shared" ca="1" si="26"/>
        <v>557231663.74910247</v>
      </c>
      <c r="V52" s="354">
        <f t="shared" si="2"/>
        <v>0.35</v>
      </c>
      <c r="W52" s="365">
        <f t="shared" ca="1" si="27"/>
        <v>195031082.31218585</v>
      </c>
      <c r="X52" s="355">
        <f t="shared" si="12"/>
        <v>21.346399999999999</v>
      </c>
      <c r="Y52" s="364">
        <f t="shared" ca="1" si="28"/>
        <v>4163211.4954688437</v>
      </c>
      <c r="Z52" s="353">
        <f t="shared" si="13"/>
        <v>0.25</v>
      </c>
      <c r="AA52" s="365">
        <f t="shared" si="14"/>
        <v>0</v>
      </c>
      <c r="AB52" s="98">
        <f t="shared" ca="1" si="15"/>
        <v>4163211.4954688437</v>
      </c>
      <c r="AC52" s="366">
        <f t="shared" ca="1" si="16"/>
        <v>3122408.6216016328</v>
      </c>
      <c r="AD52" s="366">
        <f t="shared" ca="1" si="17"/>
        <v>2538543.5947980755</v>
      </c>
      <c r="AE52" s="366">
        <f t="shared" ca="1" si="3"/>
        <v>2538543.5947980755</v>
      </c>
    </row>
    <row r="53" spans="1:31" ht="14.4">
      <c r="A53" s="362">
        <f t="shared" si="18"/>
        <v>0</v>
      </c>
      <c r="B53" s="349">
        <f t="shared" si="4"/>
        <v>30</v>
      </c>
      <c r="C53" s="98">
        <f t="shared" si="19"/>
        <v>788224401.27257931</v>
      </c>
      <c r="D53" s="356">
        <f t="shared" si="20"/>
        <v>1.2189944199947573</v>
      </c>
      <c r="E53" s="364">
        <f t="shared" ca="1" si="23"/>
        <v>568376297.02408457</v>
      </c>
      <c r="F53" s="354">
        <f t="shared" si="0"/>
        <v>0.35</v>
      </c>
      <c r="G53" s="365">
        <f t="shared" ca="1" si="24"/>
        <v>198931703.95842957</v>
      </c>
      <c r="H53" s="355">
        <f t="shared" si="5"/>
        <v>21.346399999999999</v>
      </c>
      <c r="I53" s="364">
        <f t="shared" ca="1" si="25"/>
        <v>0</v>
      </c>
      <c r="J53" s="353">
        <f t="shared" si="6"/>
        <v>0.25</v>
      </c>
      <c r="K53" s="365">
        <f t="shared" si="7"/>
        <v>5889013.6757637439</v>
      </c>
      <c r="L53" s="98">
        <f t="shared" ca="1" si="8"/>
        <v>5889013.6757637439</v>
      </c>
      <c r="M53" s="366">
        <f t="shared" ca="1" si="9"/>
        <v>0</v>
      </c>
      <c r="N53" s="366">
        <f t="shared" ca="1" si="10"/>
        <v>0</v>
      </c>
      <c r="O53" s="429" t="str">
        <f t="shared" ca="1" si="1"/>
        <v/>
      </c>
      <c r="P53" s="96"/>
      <c r="Q53" s="96"/>
      <c r="R53" s="349">
        <f t="shared" si="11"/>
        <v>30</v>
      </c>
      <c r="S53" s="98">
        <f t="shared" si="21"/>
        <v>0</v>
      </c>
      <c r="T53" s="356">
        <f t="shared" si="22"/>
        <v>1.2189944199947573</v>
      </c>
      <c r="U53" s="364">
        <f t="shared" ca="1" si="26"/>
        <v>568376297.02408457</v>
      </c>
      <c r="V53" s="354">
        <f t="shared" si="2"/>
        <v>0.35</v>
      </c>
      <c r="W53" s="365">
        <f t="shared" ca="1" si="27"/>
        <v>198931703.95842957</v>
      </c>
      <c r="X53" s="355">
        <f t="shared" si="12"/>
        <v>21.346399999999999</v>
      </c>
      <c r="Y53" s="364">
        <f t="shared" ca="1" si="28"/>
        <v>4246475.7253782209</v>
      </c>
      <c r="Z53" s="353">
        <f t="shared" si="13"/>
        <v>0.25</v>
      </c>
      <c r="AA53" s="365">
        <f t="shared" si="14"/>
        <v>0</v>
      </c>
      <c r="AB53" s="98">
        <f t="shared" ca="1" si="15"/>
        <v>4246475.7253782209</v>
      </c>
      <c r="AC53" s="366">
        <f t="shared" ca="1" si="16"/>
        <v>3184856.7940336657</v>
      </c>
      <c r="AD53" s="366">
        <f t="shared" ca="1" si="17"/>
        <v>2589314.466694037</v>
      </c>
      <c r="AE53" s="366">
        <f t="shared" ca="1" si="3"/>
        <v>2589314.466694037</v>
      </c>
    </row>
    <row r="54" spans="1:31">
      <c r="B54" s="96"/>
      <c r="C54" s="349"/>
      <c r="D54" s="96"/>
      <c r="E54" s="204"/>
      <c r="F54" s="96"/>
      <c r="G54" s="96"/>
      <c r="H54" s="96"/>
      <c r="I54" s="96"/>
      <c r="J54" s="95"/>
      <c r="K54" s="96"/>
      <c r="L54" s="96"/>
      <c r="M54" s="98"/>
      <c r="N54" s="96"/>
      <c r="O54" s="389"/>
      <c r="P54" s="96"/>
      <c r="Q54" s="96"/>
      <c r="R54" s="96"/>
      <c r="S54" s="349"/>
      <c r="T54" s="96"/>
      <c r="U54" s="204"/>
      <c r="V54" s="96"/>
      <c r="W54" s="96"/>
      <c r="X54" s="96"/>
      <c r="Y54" s="96"/>
      <c r="Z54" s="95"/>
      <c r="AA54" s="96"/>
      <c r="AB54" s="96"/>
      <c r="AC54" s="98"/>
      <c r="AD54" s="96"/>
      <c r="AE54" s="96"/>
    </row>
    <row r="55" spans="1:31" ht="14.4">
      <c r="B55" s="342"/>
      <c r="C55" s="349"/>
      <c r="D55" s="337"/>
      <c r="E55" s="204"/>
      <c r="F55" s="342"/>
      <c r="G55" s="95"/>
      <c r="H55" s="337"/>
      <c r="I55" s="96"/>
      <c r="J55" s="342"/>
      <c r="K55" s="95"/>
      <c r="L55" s="367" t="s">
        <v>725</v>
      </c>
      <c r="M55" s="96"/>
      <c r="N55" s="363">
        <f ca="1">MIN(O23:O53)</f>
        <v>73665.465681175934</v>
      </c>
      <c r="O55" s="389"/>
      <c r="P55" s="337"/>
      <c r="Q55" s="96"/>
      <c r="R55" s="342"/>
      <c r="S55" s="349"/>
      <c r="T55" s="337"/>
      <c r="U55" s="204"/>
      <c r="V55" s="342"/>
      <c r="W55" s="95"/>
      <c r="X55" s="337"/>
      <c r="Y55" s="96"/>
      <c r="Z55" s="342"/>
      <c r="AA55" s="95"/>
      <c r="AB55" s="367" t="s">
        <v>725</v>
      </c>
      <c r="AC55" s="96"/>
      <c r="AD55" s="363">
        <f ca="1">MIN(AE23:AE53)</f>
        <v>2166622.5150064901</v>
      </c>
      <c r="AE55" s="95"/>
    </row>
    <row r="56" spans="1:31" ht="14.4">
      <c r="B56" s="95"/>
      <c r="C56" s="349"/>
      <c r="D56" s="97"/>
      <c r="E56" s="204"/>
      <c r="F56" s="95"/>
      <c r="G56" s="96"/>
      <c r="H56" s="97"/>
      <c r="I56" s="96"/>
      <c r="J56" s="95"/>
      <c r="K56" s="96"/>
      <c r="L56" s="368" t="s">
        <v>726</v>
      </c>
      <c r="M56" s="96"/>
      <c r="N56" s="363">
        <f ca="1">PV(D15,D14,-N55)</f>
        <v>1132418.7635563954</v>
      </c>
      <c r="O56" s="389"/>
      <c r="P56" s="98"/>
      <c r="Q56" s="96"/>
      <c r="R56" s="95"/>
      <c r="S56" s="349"/>
      <c r="T56" s="97"/>
      <c r="U56" s="204"/>
      <c r="V56" s="95"/>
      <c r="W56" s="96"/>
      <c r="X56" s="97"/>
      <c r="Y56" s="96"/>
      <c r="Z56" s="95"/>
      <c r="AA56" s="96"/>
      <c r="AB56" s="368" t="s">
        <v>726</v>
      </c>
      <c r="AC56" s="96"/>
      <c r="AD56" s="363">
        <f ca="1">PV(T15,T14,-AD55)</f>
        <v>33306298.505678989</v>
      </c>
      <c r="AE56" s="96"/>
    </row>
    <row r="57" spans="1:31">
      <c r="B57" s="95"/>
      <c r="C57" s="349"/>
      <c r="D57" s="97"/>
      <c r="E57" s="204"/>
      <c r="F57" s="95"/>
      <c r="G57" s="96"/>
      <c r="H57" s="97"/>
      <c r="I57" s="96"/>
      <c r="J57" s="95"/>
      <c r="K57" s="96"/>
      <c r="L57" s="98"/>
      <c r="M57" s="96"/>
      <c r="N57" s="95"/>
      <c r="O57" s="389"/>
      <c r="P57" s="98"/>
      <c r="Q57" s="96"/>
      <c r="R57" s="95"/>
      <c r="S57" s="96"/>
      <c r="T57" s="98"/>
    </row>
    <row r="58" spans="1:31">
      <c r="B58" s="96"/>
      <c r="C58" s="349"/>
      <c r="D58" s="97"/>
      <c r="E58" s="204"/>
      <c r="F58" s="96"/>
      <c r="G58" s="96"/>
      <c r="H58" s="97"/>
      <c r="I58" s="96"/>
      <c r="J58" s="96"/>
      <c r="K58" s="96"/>
      <c r="L58" s="98"/>
      <c r="M58" s="96"/>
      <c r="N58" s="96"/>
      <c r="O58" s="389"/>
      <c r="P58" s="98"/>
      <c r="Q58" s="96"/>
      <c r="R58" s="96"/>
      <c r="S58" s="96"/>
      <c r="T58" s="98"/>
    </row>
    <row r="59" spans="1:31">
      <c r="B59" s="96"/>
      <c r="C59" s="349"/>
      <c r="D59" s="97"/>
      <c r="E59" s="204"/>
      <c r="F59" s="96"/>
      <c r="G59" s="96"/>
      <c r="H59" s="97"/>
      <c r="I59" s="96"/>
      <c r="J59" s="96"/>
      <c r="K59" s="96"/>
      <c r="L59" s="98"/>
      <c r="M59" s="96"/>
      <c r="N59" s="96"/>
      <c r="O59" s="389"/>
      <c r="P59" s="98"/>
      <c r="Q59" s="96"/>
      <c r="R59" s="96"/>
      <c r="S59" s="96"/>
      <c r="T59" s="98"/>
    </row>
    <row r="60" spans="1:31">
      <c r="B60" s="96"/>
      <c r="C60" s="349"/>
      <c r="D60" s="97"/>
      <c r="E60" s="204"/>
      <c r="F60" s="96"/>
      <c r="G60" s="96"/>
      <c r="H60" s="97"/>
      <c r="I60" s="96"/>
      <c r="J60" s="96"/>
      <c r="K60" s="96"/>
      <c r="L60" s="98"/>
      <c r="M60" s="96"/>
      <c r="N60" s="96"/>
      <c r="O60" s="389"/>
      <c r="P60" s="98"/>
      <c r="Q60" s="96"/>
      <c r="R60" s="96"/>
      <c r="S60" s="96"/>
      <c r="T60" s="98"/>
    </row>
    <row r="61" spans="1:31">
      <c r="B61" s="95"/>
      <c r="C61" s="349"/>
      <c r="D61" s="98"/>
      <c r="E61" s="204"/>
      <c r="F61" s="95"/>
      <c r="G61" s="96"/>
      <c r="H61" s="98"/>
      <c r="I61" s="96"/>
      <c r="J61" s="95"/>
      <c r="K61" s="96"/>
      <c r="L61" s="98"/>
      <c r="M61" s="96"/>
      <c r="N61" s="95"/>
      <c r="O61" s="389"/>
      <c r="P61" s="98"/>
      <c r="Q61" s="96"/>
      <c r="R61" s="95"/>
      <c r="S61" s="96"/>
      <c r="T61" s="98"/>
    </row>
  </sheetData>
  <pageMargins left="0.7" right="0.7" top="0.75" bottom="0.75" header="0.3" footer="0.3"/>
  <pageSetup paperSize="3" scale="52" fitToHeight="0" orientation="landscape" r:id="rId1"/>
  <headerFooter>
    <oddHeader xml:space="preserve">&amp;L2019 ULI Hines Student Competition&amp;R2019-331 &amp;A </oddHeader>
  </headerFooter>
  <colBreaks count="1" manualBreakCount="1">
    <brk id="17" min="1" max="56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7ACD9-D796-47DC-A330-A951AFCF42D4}">
  <sheetPr filterMode="1">
    <tabColor rgb="FF92D050"/>
    <pageSetUpPr fitToPage="1"/>
  </sheetPr>
  <dimension ref="B8:AA97"/>
  <sheetViews>
    <sheetView showGridLines="0" view="pageBreakPreview" zoomScale="80" zoomScaleNormal="80" zoomScaleSheetLayoutView="80" workbookViewId="0">
      <pane xSplit="5" ySplit="10" topLeftCell="K14" activePane="bottomRight" state="frozen"/>
      <selection activeCell="A2" sqref="A2"/>
      <selection pane="topRight" activeCell="A2" sqref="A2"/>
      <selection pane="bottomLeft" activeCell="A2" sqref="A2"/>
      <selection pane="bottomRight" activeCell="K14" sqref="K14"/>
    </sheetView>
  </sheetViews>
  <sheetFormatPr defaultColWidth="10.6640625" defaultRowHeight="13.2"/>
  <cols>
    <col min="1" max="1" width="1.77734375" style="469" customWidth="1"/>
    <col min="2" max="2" width="10.6640625" style="469"/>
    <col min="3" max="3" width="10.77734375" style="469" bestFit="1" customWidth="1"/>
    <col min="4" max="4" width="0" style="469" hidden="1" customWidth="1"/>
    <col min="5" max="5" width="16.21875" style="469" hidden="1" customWidth="1"/>
    <col min="6" max="10" width="0" style="469" hidden="1" customWidth="1"/>
    <col min="11" max="12" width="10.6640625" style="469"/>
    <col min="13" max="13" width="66.109375" style="469" bestFit="1" customWidth="1"/>
    <col min="14" max="14" width="11.33203125" style="470" bestFit="1" customWidth="1"/>
    <col min="15" max="15" width="10.6640625" style="469"/>
    <col min="16" max="17" width="12.77734375" style="717" bestFit="1" customWidth="1"/>
    <col min="18" max="18" width="11.21875" style="717" bestFit="1" customWidth="1"/>
    <col min="19" max="19" width="13.5546875" style="469" bestFit="1" customWidth="1"/>
    <col min="20" max="20" width="10.6640625" style="469"/>
    <col min="21" max="26" width="0" style="469" hidden="1" customWidth="1"/>
    <col min="27" max="27" width="159" style="469" customWidth="1"/>
    <col min="28" max="16384" width="10.6640625" style="469"/>
  </cols>
  <sheetData>
    <row r="8" spans="2:27">
      <c r="B8" s="410" t="s">
        <v>762</v>
      </c>
    </row>
    <row r="10" spans="2:27" s="471" customFormat="1">
      <c r="B10" s="524" t="s">
        <v>53</v>
      </c>
      <c r="C10" s="524" t="s">
        <v>54</v>
      </c>
      <c r="D10" s="524" t="s">
        <v>55</v>
      </c>
      <c r="E10" s="524" t="s">
        <v>56</v>
      </c>
      <c r="F10" s="524" t="s">
        <v>57</v>
      </c>
      <c r="G10" s="524" t="s">
        <v>58</v>
      </c>
      <c r="H10" s="524" t="s">
        <v>59</v>
      </c>
      <c r="I10" s="524" t="s">
        <v>60</v>
      </c>
      <c r="J10" s="524" t="s">
        <v>61</v>
      </c>
      <c r="K10" s="524" t="s">
        <v>444</v>
      </c>
      <c r="L10" s="524" t="s">
        <v>437</v>
      </c>
      <c r="M10" s="524" t="s">
        <v>62</v>
      </c>
      <c r="N10" s="525" t="s">
        <v>63</v>
      </c>
      <c r="O10" s="526" t="s">
        <v>64</v>
      </c>
      <c r="P10" s="718" t="s">
        <v>65</v>
      </c>
      <c r="Q10" s="718" t="s">
        <v>66</v>
      </c>
      <c r="R10" s="718" t="s">
        <v>67</v>
      </c>
      <c r="S10" s="527" t="s">
        <v>68</v>
      </c>
      <c r="T10" s="524" t="s">
        <v>69</v>
      </c>
      <c r="U10" s="524" t="s">
        <v>70</v>
      </c>
      <c r="V10" s="524" t="s">
        <v>71</v>
      </c>
      <c r="W10" s="524" t="s">
        <v>72</v>
      </c>
      <c r="X10" s="524" t="s">
        <v>73</v>
      </c>
      <c r="Y10" s="524" t="s">
        <v>74</v>
      </c>
      <c r="Z10" s="524" t="s">
        <v>75</v>
      </c>
      <c r="AA10" s="524" t="s">
        <v>76</v>
      </c>
    </row>
    <row r="11" spans="2:27" hidden="1">
      <c r="B11" s="477" t="s">
        <v>77</v>
      </c>
      <c r="C11" s="528">
        <v>1</v>
      </c>
      <c r="D11" s="477" t="s">
        <v>78</v>
      </c>
      <c r="E11" s="474" t="s">
        <v>79</v>
      </c>
      <c r="F11" s="474" t="s">
        <v>80</v>
      </c>
      <c r="G11" s="529" t="s">
        <v>81</v>
      </c>
      <c r="H11" s="529" t="s">
        <v>82</v>
      </c>
      <c r="I11" s="477"/>
      <c r="J11" s="474" t="s">
        <v>83</v>
      </c>
      <c r="K11" s="474"/>
      <c r="L11" s="474"/>
      <c r="M11" s="474" t="s">
        <v>84</v>
      </c>
      <c r="N11" s="472">
        <v>74326</v>
      </c>
      <c r="O11" s="475" t="s">
        <v>85</v>
      </c>
      <c r="P11" s="719">
        <v>13007050</v>
      </c>
      <c r="Q11" s="719">
        <v>70512950</v>
      </c>
      <c r="R11" s="719">
        <v>0</v>
      </c>
      <c r="S11" s="530">
        <f t="shared" ref="S11:S42" si="0">SUM(P11:R11)</f>
        <v>83520000</v>
      </c>
      <c r="T11" s="474" t="s">
        <v>86</v>
      </c>
      <c r="U11" s="477" t="s">
        <v>87</v>
      </c>
      <c r="V11" s="477" t="s">
        <v>87</v>
      </c>
      <c r="W11" s="477" t="s">
        <v>88</v>
      </c>
      <c r="X11" s="477" t="s">
        <v>89</v>
      </c>
      <c r="Y11" s="477" t="s">
        <v>90</v>
      </c>
      <c r="Z11" s="474" t="s">
        <v>91</v>
      </c>
      <c r="AA11" s="477" t="s">
        <v>92</v>
      </c>
    </row>
    <row r="12" spans="2:27" hidden="1">
      <c r="B12" s="477" t="s">
        <v>77</v>
      </c>
      <c r="C12" s="528">
        <v>2</v>
      </c>
      <c r="D12" s="477" t="s">
        <v>78</v>
      </c>
      <c r="E12" s="474" t="s">
        <v>93</v>
      </c>
      <c r="F12" s="474" t="s">
        <v>80</v>
      </c>
      <c r="G12" s="474" t="s">
        <v>94</v>
      </c>
      <c r="H12" s="474" t="s">
        <v>95</v>
      </c>
      <c r="I12" s="477"/>
      <c r="J12" s="474" t="s">
        <v>83</v>
      </c>
      <c r="K12" s="474"/>
      <c r="L12" s="474"/>
      <c r="M12" s="474" t="s">
        <v>96</v>
      </c>
      <c r="N12" s="473">
        <v>5600</v>
      </c>
      <c r="O12" s="474" t="s">
        <v>97</v>
      </c>
      <c r="P12" s="719">
        <v>1260000</v>
      </c>
      <c r="Q12" s="719">
        <v>63696</v>
      </c>
      <c r="R12" s="720">
        <v>6912</v>
      </c>
      <c r="S12" s="530">
        <f t="shared" si="0"/>
        <v>1330608</v>
      </c>
      <c r="T12" s="474" t="s">
        <v>98</v>
      </c>
      <c r="U12" s="477" t="s">
        <v>87</v>
      </c>
      <c r="V12" s="477" t="s">
        <v>87</v>
      </c>
      <c r="W12" s="477" t="s">
        <v>88</v>
      </c>
      <c r="X12" s="477" t="s">
        <v>89</v>
      </c>
      <c r="Y12" s="477" t="s">
        <v>90</v>
      </c>
      <c r="Z12" s="474" t="s">
        <v>91</v>
      </c>
      <c r="AA12" s="477" t="s">
        <v>99</v>
      </c>
    </row>
    <row r="13" spans="2:27" hidden="1">
      <c r="B13" s="477" t="s">
        <v>77</v>
      </c>
      <c r="C13" s="528">
        <v>3</v>
      </c>
      <c r="D13" s="477" t="s">
        <v>78</v>
      </c>
      <c r="E13" s="474" t="s">
        <v>100</v>
      </c>
      <c r="F13" s="474" t="s">
        <v>101</v>
      </c>
      <c r="G13" s="474" t="s">
        <v>102</v>
      </c>
      <c r="H13" s="474" t="s">
        <v>103</v>
      </c>
      <c r="I13" s="474" t="s">
        <v>104</v>
      </c>
      <c r="J13" s="474" t="s">
        <v>83</v>
      </c>
      <c r="K13" s="474"/>
      <c r="L13" s="474"/>
      <c r="M13" s="474" t="s">
        <v>105</v>
      </c>
      <c r="N13" s="473">
        <v>10500</v>
      </c>
      <c r="O13" s="474" t="s">
        <v>106</v>
      </c>
      <c r="P13" s="720">
        <v>2362500</v>
      </c>
      <c r="Q13" s="720">
        <v>500</v>
      </c>
      <c r="R13" s="719">
        <v>0</v>
      </c>
      <c r="S13" s="530">
        <f t="shared" si="0"/>
        <v>2363000</v>
      </c>
      <c r="T13" s="474" t="s">
        <v>98</v>
      </c>
      <c r="U13" s="477" t="s">
        <v>87</v>
      </c>
      <c r="V13" s="477" t="s">
        <v>87</v>
      </c>
      <c r="W13" s="477" t="s">
        <v>88</v>
      </c>
      <c r="X13" s="477" t="s">
        <v>89</v>
      </c>
      <c r="Y13" s="477" t="s">
        <v>90</v>
      </c>
      <c r="Z13" s="474" t="s">
        <v>91</v>
      </c>
      <c r="AA13" s="474" t="s">
        <v>99</v>
      </c>
    </row>
    <row r="14" spans="2:27">
      <c r="B14" s="477" t="s">
        <v>77</v>
      </c>
      <c r="C14" s="531">
        <v>4</v>
      </c>
      <c r="D14" s="477" t="s">
        <v>107</v>
      </c>
      <c r="E14" s="474" t="s">
        <v>108</v>
      </c>
      <c r="F14" s="474" t="s">
        <v>109</v>
      </c>
      <c r="G14" s="474" t="s">
        <v>110</v>
      </c>
      <c r="H14" s="474" t="s">
        <v>111</v>
      </c>
      <c r="I14" s="477"/>
      <c r="J14" s="474" t="s">
        <v>112</v>
      </c>
      <c r="K14" s="474" t="s">
        <v>20</v>
      </c>
      <c r="L14" s="474" t="s">
        <v>438</v>
      </c>
      <c r="M14" s="474" t="s">
        <v>113</v>
      </c>
      <c r="N14" s="473">
        <v>36753</v>
      </c>
      <c r="O14" s="474" t="s">
        <v>114</v>
      </c>
      <c r="P14" s="719">
        <v>2388945</v>
      </c>
      <c r="Q14" s="719">
        <v>253676</v>
      </c>
      <c r="R14" s="720">
        <v>93933</v>
      </c>
      <c r="S14" s="530">
        <f t="shared" si="0"/>
        <v>2736554</v>
      </c>
      <c r="T14" s="474" t="s">
        <v>115</v>
      </c>
      <c r="U14" s="477" t="s">
        <v>87</v>
      </c>
      <c r="V14" s="477" t="s">
        <v>87</v>
      </c>
      <c r="W14" s="477" t="s">
        <v>88</v>
      </c>
      <c r="X14" s="477" t="s">
        <v>89</v>
      </c>
      <c r="Y14" s="477" t="s">
        <v>90</v>
      </c>
      <c r="Z14" s="477" t="s">
        <v>116</v>
      </c>
      <c r="AA14" s="477" t="s">
        <v>117</v>
      </c>
    </row>
    <row r="15" spans="2:27">
      <c r="B15" s="477" t="s">
        <v>77</v>
      </c>
      <c r="C15" s="531">
        <v>5</v>
      </c>
      <c r="D15" s="477" t="s">
        <v>107</v>
      </c>
      <c r="E15" s="474" t="s">
        <v>118</v>
      </c>
      <c r="F15" s="474" t="s">
        <v>101</v>
      </c>
      <c r="G15" s="474" t="s">
        <v>119</v>
      </c>
      <c r="H15" s="474" t="s">
        <v>111</v>
      </c>
      <c r="I15" s="477"/>
      <c r="J15" s="474" t="s">
        <v>112</v>
      </c>
      <c r="K15" s="474" t="s">
        <v>20</v>
      </c>
      <c r="L15" s="474" t="s">
        <v>438</v>
      </c>
      <c r="M15" s="474" t="s">
        <v>120</v>
      </c>
      <c r="N15" s="472">
        <v>2188</v>
      </c>
      <c r="O15" s="475" t="s">
        <v>121</v>
      </c>
      <c r="P15" s="719">
        <v>284440</v>
      </c>
      <c r="Q15" s="719">
        <v>0</v>
      </c>
      <c r="R15" s="719">
        <v>0</v>
      </c>
      <c r="S15" s="530">
        <f t="shared" si="0"/>
        <v>284440</v>
      </c>
      <c r="T15" s="474" t="s">
        <v>115</v>
      </c>
      <c r="U15" s="477" t="s">
        <v>87</v>
      </c>
      <c r="V15" s="477" t="s">
        <v>87</v>
      </c>
      <c r="W15" s="477" t="s">
        <v>88</v>
      </c>
      <c r="X15" s="477" t="s">
        <v>89</v>
      </c>
      <c r="Y15" s="477" t="s">
        <v>90</v>
      </c>
      <c r="Z15" s="477" t="s">
        <v>116</v>
      </c>
      <c r="AA15" s="477" t="s">
        <v>122</v>
      </c>
    </row>
    <row r="16" spans="2:27">
      <c r="B16" s="477" t="s">
        <v>77</v>
      </c>
      <c r="C16" s="531">
        <v>6</v>
      </c>
      <c r="D16" s="477" t="s">
        <v>107</v>
      </c>
      <c r="E16" s="474" t="s">
        <v>123</v>
      </c>
      <c r="F16" s="474" t="s">
        <v>101</v>
      </c>
      <c r="G16" s="474" t="s">
        <v>124</v>
      </c>
      <c r="H16" s="474" t="s">
        <v>111</v>
      </c>
      <c r="I16" s="477"/>
      <c r="J16" s="474" t="s">
        <v>112</v>
      </c>
      <c r="K16" s="474" t="s">
        <v>20</v>
      </c>
      <c r="L16" s="474" t="s">
        <v>438</v>
      </c>
      <c r="M16" s="474" t="s">
        <v>120</v>
      </c>
      <c r="N16" s="473">
        <v>2360</v>
      </c>
      <c r="O16" s="474" t="s">
        <v>125</v>
      </c>
      <c r="P16" s="720">
        <v>306800</v>
      </c>
      <c r="Q16" s="719">
        <v>0</v>
      </c>
      <c r="R16" s="719">
        <v>0</v>
      </c>
      <c r="S16" s="530">
        <f t="shared" si="0"/>
        <v>306800</v>
      </c>
      <c r="T16" s="474" t="s">
        <v>115</v>
      </c>
      <c r="U16" s="477" t="s">
        <v>87</v>
      </c>
      <c r="V16" s="477" t="s">
        <v>87</v>
      </c>
      <c r="W16" s="477" t="s">
        <v>88</v>
      </c>
      <c r="X16" s="477" t="s">
        <v>89</v>
      </c>
      <c r="Y16" s="477" t="s">
        <v>90</v>
      </c>
      <c r="Z16" s="477" t="s">
        <v>116</v>
      </c>
      <c r="AA16" s="477" t="s">
        <v>122</v>
      </c>
    </row>
    <row r="17" spans="2:27">
      <c r="B17" s="477" t="s">
        <v>77</v>
      </c>
      <c r="C17" s="531">
        <v>7</v>
      </c>
      <c r="D17" s="477" t="s">
        <v>107</v>
      </c>
      <c r="E17" s="474" t="s">
        <v>126</v>
      </c>
      <c r="F17" s="474" t="s">
        <v>101</v>
      </c>
      <c r="G17" s="474" t="s">
        <v>127</v>
      </c>
      <c r="H17" s="474" t="s">
        <v>128</v>
      </c>
      <c r="I17" s="477"/>
      <c r="J17" s="474" t="s">
        <v>112</v>
      </c>
      <c r="K17" s="474" t="s">
        <v>20</v>
      </c>
      <c r="L17" s="474" t="s">
        <v>438</v>
      </c>
      <c r="M17" s="474" t="s">
        <v>113</v>
      </c>
      <c r="N17" s="473">
        <v>4688</v>
      </c>
      <c r="O17" s="474" t="s">
        <v>129</v>
      </c>
      <c r="P17" s="720">
        <v>304720</v>
      </c>
      <c r="Q17" s="720">
        <v>69379</v>
      </c>
      <c r="R17" s="719">
        <v>3908</v>
      </c>
      <c r="S17" s="530">
        <f t="shared" si="0"/>
        <v>378007</v>
      </c>
      <c r="T17" s="474" t="s">
        <v>115</v>
      </c>
      <c r="U17" s="477" t="s">
        <v>87</v>
      </c>
      <c r="V17" s="477" t="s">
        <v>87</v>
      </c>
      <c r="W17" s="477" t="s">
        <v>88</v>
      </c>
      <c r="X17" s="477" t="s">
        <v>89</v>
      </c>
      <c r="Y17" s="477" t="s">
        <v>90</v>
      </c>
      <c r="Z17" s="477" t="s">
        <v>116</v>
      </c>
      <c r="AA17" s="477" t="s">
        <v>117</v>
      </c>
    </row>
    <row r="18" spans="2:27" hidden="1">
      <c r="B18" s="477" t="s">
        <v>77</v>
      </c>
      <c r="C18" s="528">
        <v>8</v>
      </c>
      <c r="D18" s="477" t="s">
        <v>78</v>
      </c>
      <c r="E18" s="474" t="s">
        <v>130</v>
      </c>
      <c r="F18" s="474" t="s">
        <v>101</v>
      </c>
      <c r="G18" s="474" t="s">
        <v>131</v>
      </c>
      <c r="H18" s="474" t="s">
        <v>132</v>
      </c>
      <c r="I18" s="477"/>
      <c r="J18" s="474" t="s">
        <v>112</v>
      </c>
      <c r="K18" s="474" t="s">
        <v>20</v>
      </c>
      <c r="L18" s="474" t="s">
        <v>750</v>
      </c>
      <c r="M18" s="474" t="s">
        <v>133</v>
      </c>
      <c r="N18" s="473">
        <v>1875</v>
      </c>
      <c r="O18" s="474" t="s">
        <v>134</v>
      </c>
      <c r="P18" s="719">
        <v>243750</v>
      </c>
      <c r="Q18" s="719">
        <v>0</v>
      </c>
      <c r="R18" s="719">
        <v>0</v>
      </c>
      <c r="S18" s="530">
        <f t="shared" si="0"/>
        <v>243750</v>
      </c>
      <c r="T18" s="474" t="s">
        <v>115</v>
      </c>
      <c r="U18" s="477" t="s">
        <v>87</v>
      </c>
      <c r="V18" s="477" t="s">
        <v>87</v>
      </c>
      <c r="W18" s="477" t="s">
        <v>88</v>
      </c>
      <c r="X18" s="477" t="s">
        <v>89</v>
      </c>
      <c r="Y18" s="477" t="s">
        <v>90</v>
      </c>
      <c r="Z18" s="477" t="s">
        <v>116</v>
      </c>
      <c r="AA18" s="477" t="s">
        <v>135</v>
      </c>
    </row>
    <row r="19" spans="2:27" hidden="1">
      <c r="B19" s="477" t="s">
        <v>77</v>
      </c>
      <c r="C19" s="528">
        <v>9</v>
      </c>
      <c r="D19" s="477" t="s">
        <v>78</v>
      </c>
      <c r="E19" s="474" t="s">
        <v>136</v>
      </c>
      <c r="F19" s="474" t="s">
        <v>101</v>
      </c>
      <c r="G19" s="474" t="s">
        <v>137</v>
      </c>
      <c r="H19" s="474" t="s">
        <v>138</v>
      </c>
      <c r="I19" s="477"/>
      <c r="J19" s="474" t="s">
        <v>83</v>
      </c>
      <c r="K19" s="474" t="s">
        <v>20</v>
      </c>
      <c r="L19" s="474" t="s">
        <v>750</v>
      </c>
      <c r="M19" s="474" t="s">
        <v>139</v>
      </c>
      <c r="N19" s="473">
        <v>1750</v>
      </c>
      <c r="O19" s="474" t="s">
        <v>140</v>
      </c>
      <c r="P19" s="720">
        <v>306250</v>
      </c>
      <c r="Q19" s="720">
        <v>38419</v>
      </c>
      <c r="R19" s="719">
        <v>0</v>
      </c>
      <c r="S19" s="530">
        <f t="shared" si="0"/>
        <v>344669</v>
      </c>
      <c r="T19" s="474" t="s">
        <v>98</v>
      </c>
      <c r="U19" s="477" t="s">
        <v>87</v>
      </c>
      <c r="V19" s="477" t="s">
        <v>87</v>
      </c>
      <c r="W19" s="477" t="s">
        <v>88</v>
      </c>
      <c r="X19" s="477" t="s">
        <v>89</v>
      </c>
      <c r="Y19" s="477" t="s">
        <v>90</v>
      </c>
      <c r="Z19" s="474" t="s">
        <v>91</v>
      </c>
      <c r="AA19" s="477" t="s">
        <v>135</v>
      </c>
    </row>
    <row r="20" spans="2:27" ht="15.45" hidden="1" customHeight="1">
      <c r="B20" s="477" t="s">
        <v>77</v>
      </c>
      <c r="C20" s="528">
        <v>10</v>
      </c>
      <c r="D20" s="477" t="s">
        <v>78</v>
      </c>
      <c r="E20" s="474" t="s">
        <v>141</v>
      </c>
      <c r="F20" s="474" t="s">
        <v>101</v>
      </c>
      <c r="G20" s="474" t="s">
        <v>142</v>
      </c>
      <c r="H20" s="474" t="s">
        <v>143</v>
      </c>
      <c r="I20" s="477"/>
      <c r="J20" s="474" t="s">
        <v>83</v>
      </c>
      <c r="K20" s="474" t="s">
        <v>20</v>
      </c>
      <c r="L20" s="474" t="s">
        <v>750</v>
      </c>
      <c r="M20" s="474" t="s">
        <v>133</v>
      </c>
      <c r="N20" s="473">
        <v>3500</v>
      </c>
      <c r="O20" s="474" t="s">
        <v>144</v>
      </c>
      <c r="P20" s="720">
        <v>612500</v>
      </c>
      <c r="Q20" s="719">
        <v>0</v>
      </c>
      <c r="R20" s="719">
        <v>0</v>
      </c>
      <c r="S20" s="530">
        <f t="shared" si="0"/>
        <v>612500</v>
      </c>
      <c r="T20" s="474" t="s">
        <v>98</v>
      </c>
      <c r="U20" s="477" t="s">
        <v>87</v>
      </c>
      <c r="V20" s="477" t="s">
        <v>87</v>
      </c>
      <c r="W20" s="477" t="s">
        <v>88</v>
      </c>
      <c r="X20" s="477" t="s">
        <v>89</v>
      </c>
      <c r="Y20" s="477" t="s">
        <v>90</v>
      </c>
      <c r="Z20" s="474" t="s">
        <v>91</v>
      </c>
      <c r="AA20" s="474" t="s">
        <v>122</v>
      </c>
    </row>
    <row r="21" spans="2:27" hidden="1">
      <c r="B21" s="477" t="s">
        <v>77</v>
      </c>
      <c r="C21" s="477">
        <v>11</v>
      </c>
      <c r="D21" s="477" t="s">
        <v>78</v>
      </c>
      <c r="E21" s="474" t="s">
        <v>145</v>
      </c>
      <c r="F21" s="474" t="s">
        <v>101</v>
      </c>
      <c r="G21" s="474" t="s">
        <v>146</v>
      </c>
      <c r="H21" s="474" t="s">
        <v>143</v>
      </c>
      <c r="I21" s="477"/>
      <c r="J21" s="474" t="s">
        <v>83</v>
      </c>
      <c r="K21" s="474" t="s">
        <v>20</v>
      </c>
      <c r="L21" s="474" t="s">
        <v>750</v>
      </c>
      <c r="M21" s="474" t="s">
        <v>105</v>
      </c>
      <c r="N21" s="472">
        <v>10500</v>
      </c>
      <c r="O21" s="475" t="s">
        <v>106</v>
      </c>
      <c r="P21" s="719">
        <v>2362500</v>
      </c>
      <c r="Q21" s="720">
        <v>22055</v>
      </c>
      <c r="R21" s="719">
        <v>9776</v>
      </c>
      <c r="S21" s="530">
        <f t="shared" si="0"/>
        <v>2394331</v>
      </c>
      <c r="T21" s="474" t="s">
        <v>98</v>
      </c>
      <c r="U21" s="477" t="s">
        <v>87</v>
      </c>
      <c r="V21" s="477" t="s">
        <v>87</v>
      </c>
      <c r="W21" s="477" t="s">
        <v>88</v>
      </c>
      <c r="X21" s="477" t="s">
        <v>89</v>
      </c>
      <c r="Y21" s="477" t="s">
        <v>90</v>
      </c>
      <c r="Z21" s="474" t="s">
        <v>91</v>
      </c>
      <c r="AA21" s="474" t="s">
        <v>147</v>
      </c>
    </row>
    <row r="22" spans="2:27">
      <c r="B22" s="477" t="s">
        <v>77</v>
      </c>
      <c r="C22" s="531">
        <v>12</v>
      </c>
      <c r="D22" s="477" t="s">
        <v>107</v>
      </c>
      <c r="E22" s="474" t="s">
        <v>148</v>
      </c>
      <c r="F22" s="474" t="s">
        <v>109</v>
      </c>
      <c r="G22" s="474" t="s">
        <v>149</v>
      </c>
      <c r="H22" s="474" t="s">
        <v>111</v>
      </c>
      <c r="I22" s="477"/>
      <c r="J22" s="474" t="s">
        <v>112</v>
      </c>
      <c r="K22" s="474" t="s">
        <v>20</v>
      </c>
      <c r="L22" s="474" t="s">
        <v>438</v>
      </c>
      <c r="M22" s="474" t="s">
        <v>133</v>
      </c>
      <c r="N22" s="473">
        <v>14000</v>
      </c>
      <c r="O22" s="474" t="s">
        <v>150</v>
      </c>
      <c r="P22" s="720">
        <v>910000</v>
      </c>
      <c r="Q22" s="719">
        <v>0</v>
      </c>
      <c r="R22" s="719">
        <v>0</v>
      </c>
      <c r="S22" s="530">
        <f t="shared" si="0"/>
        <v>910000</v>
      </c>
      <c r="T22" s="474" t="s">
        <v>115</v>
      </c>
      <c r="U22" s="477" t="s">
        <v>87</v>
      </c>
      <c r="V22" s="477" t="s">
        <v>87</v>
      </c>
      <c r="W22" s="477" t="s">
        <v>88</v>
      </c>
      <c r="X22" s="477" t="s">
        <v>89</v>
      </c>
      <c r="Y22" s="477" t="s">
        <v>90</v>
      </c>
      <c r="Z22" s="474" t="s">
        <v>116</v>
      </c>
      <c r="AA22" s="477" t="s">
        <v>117</v>
      </c>
    </row>
    <row r="23" spans="2:27">
      <c r="B23" s="477" t="s">
        <v>77</v>
      </c>
      <c r="C23" s="531">
        <v>13</v>
      </c>
      <c r="D23" s="477" t="s">
        <v>107</v>
      </c>
      <c r="E23" s="474" t="s">
        <v>151</v>
      </c>
      <c r="F23" s="474" t="s">
        <v>109</v>
      </c>
      <c r="G23" s="474" t="s">
        <v>152</v>
      </c>
      <c r="H23" s="474" t="s">
        <v>128</v>
      </c>
      <c r="I23" s="477"/>
      <c r="J23" s="474" t="s">
        <v>83</v>
      </c>
      <c r="K23" s="474" t="s">
        <v>20</v>
      </c>
      <c r="L23" s="474" t="s">
        <v>438</v>
      </c>
      <c r="M23" s="474" t="s">
        <v>133</v>
      </c>
      <c r="N23" s="473">
        <v>7000</v>
      </c>
      <c r="O23" s="474" t="s">
        <v>153</v>
      </c>
      <c r="P23" s="719">
        <v>612500</v>
      </c>
      <c r="Q23" s="719">
        <v>0</v>
      </c>
      <c r="R23" s="719">
        <v>0</v>
      </c>
      <c r="S23" s="530">
        <f t="shared" si="0"/>
        <v>612500</v>
      </c>
      <c r="T23" s="474" t="s">
        <v>98</v>
      </c>
      <c r="U23" s="477" t="s">
        <v>87</v>
      </c>
      <c r="V23" s="477" t="s">
        <v>87</v>
      </c>
      <c r="W23" s="477" t="s">
        <v>88</v>
      </c>
      <c r="X23" s="477" t="s">
        <v>89</v>
      </c>
      <c r="Y23" s="477" t="s">
        <v>90</v>
      </c>
      <c r="Z23" s="474" t="s">
        <v>91</v>
      </c>
      <c r="AA23" s="474" t="s">
        <v>122</v>
      </c>
    </row>
    <row r="24" spans="2:27">
      <c r="B24" s="477" t="s">
        <v>77</v>
      </c>
      <c r="C24" s="531">
        <v>14</v>
      </c>
      <c r="D24" s="477" t="s">
        <v>107</v>
      </c>
      <c r="E24" s="474" t="s">
        <v>154</v>
      </c>
      <c r="F24" s="474" t="s">
        <v>109</v>
      </c>
      <c r="G24" s="474" t="s">
        <v>155</v>
      </c>
      <c r="H24" s="474" t="s">
        <v>128</v>
      </c>
      <c r="I24" s="477"/>
      <c r="J24" s="474" t="s">
        <v>83</v>
      </c>
      <c r="K24" s="474" t="s">
        <v>20</v>
      </c>
      <c r="L24" s="474" t="s">
        <v>438</v>
      </c>
      <c r="M24" s="474" t="s">
        <v>133</v>
      </c>
      <c r="N24" s="473">
        <v>7000</v>
      </c>
      <c r="O24" s="474" t="s">
        <v>153</v>
      </c>
      <c r="P24" s="720">
        <v>612500</v>
      </c>
      <c r="Q24" s="719">
        <v>0</v>
      </c>
      <c r="R24" s="719">
        <v>0</v>
      </c>
      <c r="S24" s="530">
        <f t="shared" si="0"/>
        <v>612500</v>
      </c>
      <c r="T24" s="474" t="s">
        <v>98</v>
      </c>
      <c r="U24" s="477" t="s">
        <v>87</v>
      </c>
      <c r="V24" s="477" t="s">
        <v>87</v>
      </c>
      <c r="W24" s="477" t="s">
        <v>88</v>
      </c>
      <c r="X24" s="477" t="s">
        <v>89</v>
      </c>
      <c r="Y24" s="477" t="s">
        <v>90</v>
      </c>
      <c r="Z24" s="474" t="s">
        <v>91</v>
      </c>
      <c r="AA24" s="477" t="s">
        <v>122</v>
      </c>
    </row>
    <row r="25" spans="2:27" hidden="1">
      <c r="B25" s="477" t="s">
        <v>77</v>
      </c>
      <c r="C25" s="477">
        <v>15</v>
      </c>
      <c r="D25" s="477" t="s">
        <v>78</v>
      </c>
      <c r="E25" s="474" t="s">
        <v>156</v>
      </c>
      <c r="F25" s="474" t="s">
        <v>109</v>
      </c>
      <c r="G25" s="474" t="s">
        <v>157</v>
      </c>
      <c r="H25" s="474" t="s">
        <v>143</v>
      </c>
      <c r="I25" s="477"/>
      <c r="J25" s="474" t="s">
        <v>83</v>
      </c>
      <c r="K25" s="474" t="s">
        <v>20</v>
      </c>
      <c r="L25" s="474" t="s">
        <v>750</v>
      </c>
      <c r="M25" s="474" t="s">
        <v>158</v>
      </c>
      <c r="N25" s="472">
        <v>17550</v>
      </c>
      <c r="O25" s="475" t="s">
        <v>159</v>
      </c>
      <c r="P25" s="720">
        <v>3948750</v>
      </c>
      <c r="Q25" s="719">
        <v>0</v>
      </c>
      <c r="R25" s="719">
        <v>14508</v>
      </c>
      <c r="S25" s="530">
        <f t="shared" si="0"/>
        <v>3963258</v>
      </c>
      <c r="T25" s="474" t="s">
        <v>98</v>
      </c>
      <c r="U25" s="477" t="s">
        <v>87</v>
      </c>
      <c r="V25" s="477" t="s">
        <v>87</v>
      </c>
      <c r="W25" s="477" t="s">
        <v>88</v>
      </c>
      <c r="X25" s="477" t="s">
        <v>89</v>
      </c>
      <c r="Y25" s="477" t="s">
        <v>90</v>
      </c>
      <c r="Z25" s="474" t="s">
        <v>91</v>
      </c>
      <c r="AA25" s="474" t="s">
        <v>147</v>
      </c>
    </row>
    <row r="26" spans="2:27">
      <c r="B26" s="477" t="s">
        <v>77</v>
      </c>
      <c r="C26" s="531">
        <v>16</v>
      </c>
      <c r="D26" s="477" t="s">
        <v>107</v>
      </c>
      <c r="E26" s="532" t="s">
        <v>160</v>
      </c>
      <c r="F26" s="477" t="s">
        <v>161</v>
      </c>
      <c r="G26" s="477" t="s">
        <v>162</v>
      </c>
      <c r="H26" s="477" t="s">
        <v>128</v>
      </c>
      <c r="I26" s="477"/>
      <c r="J26" s="477" t="s">
        <v>112</v>
      </c>
      <c r="K26" s="474" t="s">
        <v>20</v>
      </c>
      <c r="L26" s="474" t="s">
        <v>438</v>
      </c>
      <c r="M26" s="477" t="s">
        <v>113</v>
      </c>
      <c r="N26" s="476">
        <v>52250</v>
      </c>
      <c r="O26" s="477" t="s">
        <v>163</v>
      </c>
      <c r="P26" s="719">
        <v>5773625</v>
      </c>
      <c r="Q26" s="719">
        <v>1702182</v>
      </c>
      <c r="R26" s="719">
        <v>706239</v>
      </c>
      <c r="S26" s="530">
        <f t="shared" si="0"/>
        <v>8182046</v>
      </c>
      <c r="T26" s="477" t="s">
        <v>115</v>
      </c>
      <c r="U26" s="532" t="s">
        <v>87</v>
      </c>
      <c r="V26" s="532" t="s">
        <v>87</v>
      </c>
      <c r="W26" s="532" t="s">
        <v>88</v>
      </c>
      <c r="X26" s="532" t="s">
        <v>89</v>
      </c>
      <c r="Y26" s="532" t="s">
        <v>90</v>
      </c>
      <c r="Z26" s="532" t="s">
        <v>116</v>
      </c>
      <c r="AA26" s="477" t="s">
        <v>117</v>
      </c>
    </row>
    <row r="27" spans="2:27">
      <c r="B27" s="477" t="s">
        <v>77</v>
      </c>
      <c r="C27" s="531">
        <v>17</v>
      </c>
      <c r="D27" s="477" t="s">
        <v>107</v>
      </c>
      <c r="E27" s="533" t="s">
        <v>164</v>
      </c>
      <c r="F27" s="477" t="s">
        <v>109</v>
      </c>
      <c r="G27" s="477" t="s">
        <v>165</v>
      </c>
      <c r="H27" s="477" t="s">
        <v>128</v>
      </c>
      <c r="I27" s="477"/>
      <c r="J27" s="477" t="s">
        <v>112</v>
      </c>
      <c r="K27" s="474" t="s">
        <v>20</v>
      </c>
      <c r="L27" s="474" t="s">
        <v>438</v>
      </c>
      <c r="M27" s="477" t="s">
        <v>113</v>
      </c>
      <c r="N27" s="476">
        <v>14000</v>
      </c>
      <c r="O27" s="477" t="s">
        <v>150</v>
      </c>
      <c r="P27" s="719">
        <v>1820000</v>
      </c>
      <c r="Q27" s="719">
        <v>21129</v>
      </c>
      <c r="R27" s="719">
        <v>2888</v>
      </c>
      <c r="S27" s="530">
        <f t="shared" si="0"/>
        <v>1844017</v>
      </c>
      <c r="T27" s="477" t="s">
        <v>115</v>
      </c>
      <c r="U27" s="532" t="s">
        <v>87</v>
      </c>
      <c r="V27" s="532" t="s">
        <v>87</v>
      </c>
      <c r="W27" s="532" t="s">
        <v>88</v>
      </c>
      <c r="X27" s="532" t="s">
        <v>89</v>
      </c>
      <c r="Y27" s="532" t="s">
        <v>90</v>
      </c>
      <c r="Z27" s="532" t="s">
        <v>116</v>
      </c>
      <c r="AA27" s="477" t="s">
        <v>117</v>
      </c>
    </row>
    <row r="28" spans="2:27">
      <c r="B28" s="477" t="s">
        <v>77</v>
      </c>
      <c r="C28" s="531">
        <v>18</v>
      </c>
      <c r="D28" s="477" t="s">
        <v>107</v>
      </c>
      <c r="E28" s="532" t="s">
        <v>166</v>
      </c>
      <c r="F28" s="477" t="s">
        <v>109</v>
      </c>
      <c r="G28" s="477" t="s">
        <v>167</v>
      </c>
      <c r="H28" s="477" t="s">
        <v>128</v>
      </c>
      <c r="I28" s="477"/>
      <c r="J28" s="477" t="s">
        <v>112</v>
      </c>
      <c r="K28" s="474" t="s">
        <v>20</v>
      </c>
      <c r="L28" s="474" t="s">
        <v>438</v>
      </c>
      <c r="M28" s="477" t="s">
        <v>133</v>
      </c>
      <c r="N28" s="476">
        <v>7000</v>
      </c>
      <c r="O28" s="477" t="s">
        <v>153</v>
      </c>
      <c r="P28" s="719">
        <v>910000</v>
      </c>
      <c r="Q28" s="719">
        <v>0</v>
      </c>
      <c r="R28" s="719">
        <v>0</v>
      </c>
      <c r="S28" s="530">
        <f t="shared" si="0"/>
        <v>910000</v>
      </c>
      <c r="T28" s="477" t="s">
        <v>115</v>
      </c>
      <c r="U28" s="532" t="s">
        <v>87</v>
      </c>
      <c r="V28" s="532" t="s">
        <v>87</v>
      </c>
      <c r="W28" s="532" t="s">
        <v>88</v>
      </c>
      <c r="X28" s="532" t="s">
        <v>89</v>
      </c>
      <c r="Y28" s="532" t="s">
        <v>90</v>
      </c>
      <c r="Z28" s="532" t="s">
        <v>116</v>
      </c>
      <c r="AA28" s="477" t="s">
        <v>117</v>
      </c>
    </row>
    <row r="29" spans="2:27">
      <c r="B29" s="477" t="s">
        <v>77</v>
      </c>
      <c r="C29" s="531">
        <v>19</v>
      </c>
      <c r="D29" s="477" t="s">
        <v>107</v>
      </c>
      <c r="E29" s="532" t="s">
        <v>168</v>
      </c>
      <c r="F29" s="477" t="s">
        <v>109</v>
      </c>
      <c r="G29" s="477" t="s">
        <v>169</v>
      </c>
      <c r="H29" s="477" t="s">
        <v>128</v>
      </c>
      <c r="I29" s="477"/>
      <c r="J29" s="477" t="s">
        <v>112</v>
      </c>
      <c r="K29" s="474" t="s">
        <v>20</v>
      </c>
      <c r="L29" s="474" t="s">
        <v>438</v>
      </c>
      <c r="M29" s="477" t="s">
        <v>170</v>
      </c>
      <c r="N29" s="476">
        <v>7000</v>
      </c>
      <c r="O29" s="477" t="s">
        <v>153</v>
      </c>
      <c r="P29" s="719">
        <v>910000</v>
      </c>
      <c r="Q29" s="719">
        <v>1000</v>
      </c>
      <c r="R29" s="719">
        <v>0</v>
      </c>
      <c r="S29" s="530">
        <f t="shared" si="0"/>
        <v>911000</v>
      </c>
      <c r="T29" s="477" t="s">
        <v>115</v>
      </c>
      <c r="U29" s="532" t="s">
        <v>87</v>
      </c>
      <c r="V29" s="532" t="s">
        <v>87</v>
      </c>
      <c r="W29" s="532" t="s">
        <v>88</v>
      </c>
      <c r="X29" s="532" t="s">
        <v>89</v>
      </c>
      <c r="Y29" s="532" t="s">
        <v>90</v>
      </c>
      <c r="Z29" s="532" t="s">
        <v>116</v>
      </c>
      <c r="AA29" s="477" t="s">
        <v>171</v>
      </c>
    </row>
    <row r="30" spans="2:27">
      <c r="B30" s="477" t="s">
        <v>77</v>
      </c>
      <c r="C30" s="531">
        <v>20</v>
      </c>
      <c r="D30" s="477" t="s">
        <v>107</v>
      </c>
      <c r="E30" s="532" t="s">
        <v>172</v>
      </c>
      <c r="F30" s="477" t="s">
        <v>109</v>
      </c>
      <c r="G30" s="477" t="s">
        <v>173</v>
      </c>
      <c r="H30" s="477" t="s">
        <v>128</v>
      </c>
      <c r="I30" s="477"/>
      <c r="J30" s="477" t="s">
        <v>83</v>
      </c>
      <c r="K30" s="474" t="s">
        <v>20</v>
      </c>
      <c r="L30" s="474" t="s">
        <v>438</v>
      </c>
      <c r="M30" s="477" t="s">
        <v>174</v>
      </c>
      <c r="N30" s="476">
        <v>7000</v>
      </c>
      <c r="O30" s="477" t="s">
        <v>153</v>
      </c>
      <c r="P30" s="719">
        <v>1225000</v>
      </c>
      <c r="Q30" s="719">
        <v>18403</v>
      </c>
      <c r="R30" s="719">
        <v>0</v>
      </c>
      <c r="S30" s="530">
        <f t="shared" si="0"/>
        <v>1243403</v>
      </c>
      <c r="T30" s="477" t="s">
        <v>98</v>
      </c>
      <c r="U30" s="532" t="s">
        <v>87</v>
      </c>
      <c r="V30" s="532" t="s">
        <v>87</v>
      </c>
      <c r="W30" s="532" t="s">
        <v>88</v>
      </c>
      <c r="X30" s="532" t="s">
        <v>89</v>
      </c>
      <c r="Y30" s="532" t="s">
        <v>90</v>
      </c>
      <c r="Z30" s="532" t="s">
        <v>91</v>
      </c>
      <c r="AA30" s="477" t="s">
        <v>171</v>
      </c>
    </row>
    <row r="31" spans="2:27" hidden="1">
      <c r="B31" s="477" t="s">
        <v>77</v>
      </c>
      <c r="C31" s="477">
        <v>21</v>
      </c>
      <c r="D31" s="477" t="s">
        <v>78</v>
      </c>
      <c r="E31" s="534" t="s">
        <v>175</v>
      </c>
      <c r="F31" s="534" t="s">
        <v>109</v>
      </c>
      <c r="G31" s="477" t="s">
        <v>176</v>
      </c>
      <c r="H31" s="474" t="s">
        <v>177</v>
      </c>
      <c r="I31" s="477"/>
      <c r="J31" s="477" t="s">
        <v>83</v>
      </c>
      <c r="K31" s="474" t="s">
        <v>20</v>
      </c>
      <c r="L31" s="474" t="s">
        <v>750</v>
      </c>
      <c r="M31" s="477" t="s">
        <v>170</v>
      </c>
      <c r="N31" s="476">
        <v>7000</v>
      </c>
      <c r="O31" s="477" t="s">
        <v>153</v>
      </c>
      <c r="P31" s="719">
        <v>1225000</v>
      </c>
      <c r="Q31" s="719">
        <v>1000</v>
      </c>
      <c r="R31" s="719">
        <v>0</v>
      </c>
      <c r="S31" s="530">
        <f t="shared" si="0"/>
        <v>1226000</v>
      </c>
      <c r="T31" s="477" t="s">
        <v>98</v>
      </c>
      <c r="U31" s="477" t="s">
        <v>87</v>
      </c>
      <c r="V31" s="477" t="s">
        <v>87</v>
      </c>
      <c r="W31" s="477" t="s">
        <v>88</v>
      </c>
      <c r="X31" s="477" t="s">
        <v>89</v>
      </c>
      <c r="Y31" s="477" t="s">
        <v>90</v>
      </c>
      <c r="Z31" s="477" t="s">
        <v>91</v>
      </c>
      <c r="AA31" s="477" t="s">
        <v>171</v>
      </c>
    </row>
    <row r="32" spans="2:27" hidden="1">
      <c r="B32" s="477" t="s">
        <v>77</v>
      </c>
      <c r="C32" s="477">
        <v>22</v>
      </c>
      <c r="D32" s="477" t="s">
        <v>78</v>
      </c>
      <c r="E32" s="534" t="s">
        <v>178</v>
      </c>
      <c r="F32" s="477" t="s">
        <v>109</v>
      </c>
      <c r="G32" s="477" t="s">
        <v>179</v>
      </c>
      <c r="H32" s="477" t="s">
        <v>177</v>
      </c>
      <c r="I32" s="477"/>
      <c r="J32" s="477" t="s">
        <v>83</v>
      </c>
      <c r="K32" s="474" t="s">
        <v>20</v>
      </c>
      <c r="L32" s="474" t="s">
        <v>750</v>
      </c>
      <c r="M32" s="477" t="s">
        <v>105</v>
      </c>
      <c r="N32" s="476">
        <v>11726</v>
      </c>
      <c r="O32" s="477" t="s">
        <v>180</v>
      </c>
      <c r="P32" s="719">
        <v>2638350</v>
      </c>
      <c r="Q32" s="719">
        <v>277493</v>
      </c>
      <c r="R32" s="719">
        <v>9454</v>
      </c>
      <c r="S32" s="530">
        <f t="shared" si="0"/>
        <v>2925297</v>
      </c>
      <c r="T32" s="477" t="s">
        <v>98</v>
      </c>
      <c r="U32" s="477" t="s">
        <v>87</v>
      </c>
      <c r="V32" s="477" t="s">
        <v>87</v>
      </c>
      <c r="W32" s="477" t="s">
        <v>88</v>
      </c>
      <c r="X32" s="477" t="s">
        <v>89</v>
      </c>
      <c r="Y32" s="477" t="s">
        <v>90</v>
      </c>
      <c r="Z32" s="477" t="s">
        <v>91</v>
      </c>
      <c r="AA32" s="477" t="s">
        <v>99</v>
      </c>
    </row>
    <row r="33" spans="2:27" hidden="1">
      <c r="B33" s="477" t="s">
        <v>77</v>
      </c>
      <c r="C33" s="477">
        <v>23</v>
      </c>
      <c r="D33" s="477" t="s">
        <v>78</v>
      </c>
      <c r="E33" s="534" t="s">
        <v>181</v>
      </c>
      <c r="F33" s="477" t="s">
        <v>109</v>
      </c>
      <c r="G33" s="477" t="s">
        <v>182</v>
      </c>
      <c r="H33" s="477" t="s">
        <v>177</v>
      </c>
      <c r="I33" s="477"/>
      <c r="J33" s="477" t="s">
        <v>83</v>
      </c>
      <c r="K33" s="474" t="s">
        <v>20</v>
      </c>
      <c r="L33" s="474" t="s">
        <v>750</v>
      </c>
      <c r="M33" s="477" t="s">
        <v>133</v>
      </c>
      <c r="N33" s="476">
        <v>5823</v>
      </c>
      <c r="O33" s="477" t="s">
        <v>183</v>
      </c>
      <c r="P33" s="719">
        <v>1455750</v>
      </c>
      <c r="Q33" s="719">
        <v>0</v>
      </c>
      <c r="R33" s="719">
        <v>0</v>
      </c>
      <c r="S33" s="530">
        <f t="shared" si="0"/>
        <v>1455750</v>
      </c>
      <c r="T33" s="477" t="s">
        <v>98</v>
      </c>
      <c r="U33" s="477" t="s">
        <v>87</v>
      </c>
      <c r="V33" s="477" t="s">
        <v>87</v>
      </c>
      <c r="W33" s="477" t="s">
        <v>88</v>
      </c>
      <c r="X33" s="477" t="s">
        <v>89</v>
      </c>
      <c r="Y33" s="477" t="s">
        <v>90</v>
      </c>
      <c r="Z33" s="477" t="s">
        <v>91</v>
      </c>
      <c r="AA33" s="477" t="s">
        <v>122</v>
      </c>
    </row>
    <row r="34" spans="2:27">
      <c r="B34" s="477" t="s">
        <v>77</v>
      </c>
      <c r="C34" s="531">
        <v>24</v>
      </c>
      <c r="D34" s="477" t="s">
        <v>107</v>
      </c>
      <c r="E34" s="532" t="s">
        <v>184</v>
      </c>
      <c r="F34" s="477" t="s">
        <v>161</v>
      </c>
      <c r="G34" s="477" t="s">
        <v>185</v>
      </c>
      <c r="H34" s="477" t="s">
        <v>128</v>
      </c>
      <c r="I34" s="477"/>
      <c r="J34" s="477" t="s">
        <v>112</v>
      </c>
      <c r="K34" s="474" t="s">
        <v>20</v>
      </c>
      <c r="L34" s="474" t="s">
        <v>438</v>
      </c>
      <c r="M34" s="477" t="s">
        <v>133</v>
      </c>
      <c r="N34" s="476">
        <v>6800</v>
      </c>
      <c r="O34" s="477" t="s">
        <v>186</v>
      </c>
      <c r="P34" s="719">
        <v>884000</v>
      </c>
      <c r="Q34" s="719">
        <v>0</v>
      </c>
      <c r="R34" s="719">
        <v>0</v>
      </c>
      <c r="S34" s="530">
        <f t="shared" si="0"/>
        <v>884000</v>
      </c>
      <c r="T34" s="477" t="s">
        <v>115</v>
      </c>
      <c r="U34" s="532" t="s">
        <v>87</v>
      </c>
      <c r="V34" s="532" t="s">
        <v>87</v>
      </c>
      <c r="W34" s="532" t="s">
        <v>88</v>
      </c>
      <c r="X34" s="532" t="s">
        <v>89</v>
      </c>
      <c r="Y34" s="532" t="s">
        <v>90</v>
      </c>
      <c r="Z34" s="532" t="s">
        <v>116</v>
      </c>
      <c r="AA34" s="477" t="s">
        <v>117</v>
      </c>
    </row>
    <row r="35" spans="2:27">
      <c r="B35" s="477" t="s">
        <v>77</v>
      </c>
      <c r="C35" s="531">
        <v>26</v>
      </c>
      <c r="D35" s="477" t="s">
        <v>107</v>
      </c>
      <c r="E35" s="532" t="s">
        <v>187</v>
      </c>
      <c r="F35" s="477" t="s">
        <v>161</v>
      </c>
      <c r="G35" s="477" t="s">
        <v>188</v>
      </c>
      <c r="H35" s="477" t="s">
        <v>128</v>
      </c>
      <c r="I35" s="477"/>
      <c r="J35" s="477" t="s">
        <v>112</v>
      </c>
      <c r="K35" s="474" t="s">
        <v>20</v>
      </c>
      <c r="L35" s="474" t="s">
        <v>438</v>
      </c>
      <c r="M35" s="477" t="s">
        <v>133</v>
      </c>
      <c r="N35" s="476">
        <v>1620</v>
      </c>
      <c r="O35" s="477" t="s">
        <v>189</v>
      </c>
      <c r="P35" s="719">
        <v>210600</v>
      </c>
      <c r="Q35" s="719">
        <v>0</v>
      </c>
      <c r="R35" s="719">
        <v>0</v>
      </c>
      <c r="S35" s="530">
        <f t="shared" si="0"/>
        <v>210600</v>
      </c>
      <c r="T35" s="477" t="s">
        <v>115</v>
      </c>
      <c r="U35" s="532" t="s">
        <v>87</v>
      </c>
      <c r="V35" s="532" t="s">
        <v>87</v>
      </c>
      <c r="W35" s="532" t="s">
        <v>88</v>
      </c>
      <c r="X35" s="532" t="s">
        <v>89</v>
      </c>
      <c r="Y35" s="532" t="s">
        <v>190</v>
      </c>
      <c r="Z35" s="532" t="s">
        <v>116</v>
      </c>
      <c r="AA35" s="535" t="s">
        <v>190</v>
      </c>
    </row>
    <row r="36" spans="2:27">
      <c r="B36" s="477" t="s">
        <v>77</v>
      </c>
      <c r="C36" s="531">
        <v>27</v>
      </c>
      <c r="D36" s="477" t="s">
        <v>107</v>
      </c>
      <c r="E36" s="532" t="s">
        <v>191</v>
      </c>
      <c r="F36" s="477" t="s">
        <v>161</v>
      </c>
      <c r="G36" s="477" t="s">
        <v>188</v>
      </c>
      <c r="H36" s="477" t="s">
        <v>128</v>
      </c>
      <c r="I36" s="477"/>
      <c r="J36" s="477" t="s">
        <v>112</v>
      </c>
      <c r="K36" s="474" t="s">
        <v>20</v>
      </c>
      <c r="L36" s="474" t="s">
        <v>438</v>
      </c>
      <c r="M36" s="477" t="s">
        <v>139</v>
      </c>
      <c r="N36" s="476">
        <v>2974</v>
      </c>
      <c r="O36" s="477" t="s">
        <v>192</v>
      </c>
      <c r="P36" s="719">
        <v>386620</v>
      </c>
      <c r="Q36" s="719">
        <v>10349</v>
      </c>
      <c r="R36" s="719">
        <v>1055</v>
      </c>
      <c r="S36" s="530">
        <f t="shared" si="0"/>
        <v>398024</v>
      </c>
      <c r="T36" s="477" t="s">
        <v>115</v>
      </c>
      <c r="U36" s="532" t="s">
        <v>87</v>
      </c>
      <c r="V36" s="532" t="s">
        <v>87</v>
      </c>
      <c r="W36" s="532" t="s">
        <v>190</v>
      </c>
      <c r="X36" s="532" t="s">
        <v>89</v>
      </c>
      <c r="Y36" s="532" t="s">
        <v>90</v>
      </c>
      <c r="Z36" s="532" t="s">
        <v>116</v>
      </c>
      <c r="AA36" s="535" t="s">
        <v>190</v>
      </c>
    </row>
    <row r="37" spans="2:27">
      <c r="B37" s="477" t="s">
        <v>77</v>
      </c>
      <c r="C37" s="531">
        <v>28</v>
      </c>
      <c r="D37" s="477" t="s">
        <v>107</v>
      </c>
      <c r="E37" s="532" t="s">
        <v>193</v>
      </c>
      <c r="F37" s="477" t="s">
        <v>161</v>
      </c>
      <c r="G37" s="477" t="s">
        <v>194</v>
      </c>
      <c r="H37" s="477" t="s">
        <v>128</v>
      </c>
      <c r="I37" s="477"/>
      <c r="J37" s="477" t="s">
        <v>112</v>
      </c>
      <c r="K37" s="474" t="s">
        <v>20</v>
      </c>
      <c r="L37" s="474" t="s">
        <v>438</v>
      </c>
      <c r="M37" s="477" t="s">
        <v>139</v>
      </c>
      <c r="N37" s="476">
        <v>4501</v>
      </c>
      <c r="O37" s="477" t="s">
        <v>195</v>
      </c>
      <c r="P37" s="719">
        <v>585130</v>
      </c>
      <c r="Q37" s="719">
        <v>31505</v>
      </c>
      <c r="R37" s="719">
        <v>6408</v>
      </c>
      <c r="S37" s="530">
        <f t="shared" si="0"/>
        <v>623043</v>
      </c>
      <c r="T37" s="477" t="s">
        <v>115</v>
      </c>
      <c r="U37" s="532" t="s">
        <v>87</v>
      </c>
      <c r="V37" s="532" t="s">
        <v>87</v>
      </c>
      <c r="W37" s="532" t="s">
        <v>88</v>
      </c>
      <c r="X37" s="532" t="s">
        <v>89</v>
      </c>
      <c r="Y37" s="532" t="s">
        <v>90</v>
      </c>
      <c r="Z37" s="532" t="s">
        <v>116</v>
      </c>
      <c r="AA37" s="528" t="s">
        <v>135</v>
      </c>
    </row>
    <row r="38" spans="2:27">
      <c r="B38" s="477" t="s">
        <v>77</v>
      </c>
      <c r="C38" s="531">
        <v>29</v>
      </c>
      <c r="D38" s="477" t="s">
        <v>107</v>
      </c>
      <c r="E38" s="533" t="s">
        <v>196</v>
      </c>
      <c r="F38" s="477" t="s">
        <v>161</v>
      </c>
      <c r="G38" s="477" t="s">
        <v>197</v>
      </c>
      <c r="H38" s="477" t="s">
        <v>128</v>
      </c>
      <c r="I38" s="477"/>
      <c r="J38" s="477" t="s">
        <v>83</v>
      </c>
      <c r="K38" s="474" t="s">
        <v>20</v>
      </c>
      <c r="L38" s="474" t="s">
        <v>438</v>
      </c>
      <c r="M38" s="477" t="s">
        <v>113</v>
      </c>
      <c r="N38" s="476">
        <v>8090</v>
      </c>
      <c r="O38" s="477" t="s">
        <v>198</v>
      </c>
      <c r="P38" s="719">
        <v>1415750</v>
      </c>
      <c r="Q38" s="719">
        <v>104853</v>
      </c>
      <c r="R38" s="719">
        <v>40072</v>
      </c>
      <c r="S38" s="530">
        <f t="shared" si="0"/>
        <v>1560675</v>
      </c>
      <c r="T38" s="477" t="s">
        <v>98</v>
      </c>
      <c r="U38" s="532" t="s">
        <v>87</v>
      </c>
      <c r="V38" s="532" t="s">
        <v>87</v>
      </c>
      <c r="W38" s="532" t="s">
        <v>88</v>
      </c>
      <c r="X38" s="532" t="s">
        <v>89</v>
      </c>
      <c r="Y38" s="532" t="s">
        <v>90</v>
      </c>
      <c r="Z38" s="532" t="s">
        <v>87</v>
      </c>
      <c r="AA38" s="535" t="s">
        <v>190</v>
      </c>
    </row>
    <row r="39" spans="2:27">
      <c r="B39" s="477" t="s">
        <v>77</v>
      </c>
      <c r="C39" s="531">
        <v>30</v>
      </c>
      <c r="D39" s="477" t="s">
        <v>107</v>
      </c>
      <c r="E39" s="533" t="s">
        <v>199</v>
      </c>
      <c r="F39" s="477" t="s">
        <v>161</v>
      </c>
      <c r="G39" s="477" t="s">
        <v>200</v>
      </c>
      <c r="H39" s="477" t="s">
        <v>201</v>
      </c>
      <c r="I39" s="477"/>
      <c r="J39" s="477" t="s">
        <v>83</v>
      </c>
      <c r="K39" s="474" t="s">
        <v>20</v>
      </c>
      <c r="L39" s="474" t="s">
        <v>438</v>
      </c>
      <c r="M39" s="477" t="s">
        <v>170</v>
      </c>
      <c r="N39" s="476">
        <v>9930</v>
      </c>
      <c r="O39" s="477" t="s">
        <v>202</v>
      </c>
      <c r="P39" s="719">
        <v>1737750</v>
      </c>
      <c r="Q39" s="719">
        <v>1000</v>
      </c>
      <c r="R39" s="719">
        <v>0</v>
      </c>
      <c r="S39" s="530">
        <f t="shared" si="0"/>
        <v>1738750</v>
      </c>
      <c r="T39" s="477" t="s">
        <v>98</v>
      </c>
      <c r="U39" s="532" t="s">
        <v>87</v>
      </c>
      <c r="V39" s="532" t="s">
        <v>87</v>
      </c>
      <c r="W39" s="532" t="s">
        <v>88</v>
      </c>
      <c r="X39" s="532" t="s">
        <v>89</v>
      </c>
      <c r="Y39" s="532" t="s">
        <v>90</v>
      </c>
      <c r="Z39" s="532" t="s">
        <v>91</v>
      </c>
      <c r="AA39" s="477" t="s">
        <v>171</v>
      </c>
    </row>
    <row r="40" spans="2:27" hidden="1">
      <c r="B40" s="477" t="s">
        <v>77</v>
      </c>
      <c r="C40" s="477">
        <v>31</v>
      </c>
      <c r="D40" s="477" t="s">
        <v>78</v>
      </c>
      <c r="E40" s="534" t="s">
        <v>203</v>
      </c>
      <c r="F40" s="477" t="s">
        <v>161</v>
      </c>
      <c r="G40" s="477" t="s">
        <v>204</v>
      </c>
      <c r="H40" s="477" t="s">
        <v>205</v>
      </c>
      <c r="I40" s="477"/>
      <c r="J40" s="477" t="s">
        <v>83</v>
      </c>
      <c r="K40" s="474" t="s">
        <v>20</v>
      </c>
      <c r="L40" s="474" t="s">
        <v>750</v>
      </c>
      <c r="M40" s="477" t="s">
        <v>105</v>
      </c>
      <c r="N40" s="476">
        <v>13050</v>
      </c>
      <c r="O40" s="477" t="s">
        <v>206</v>
      </c>
      <c r="P40" s="719">
        <v>2936250</v>
      </c>
      <c r="Q40" s="719">
        <v>197779</v>
      </c>
      <c r="R40" s="719">
        <v>77400</v>
      </c>
      <c r="S40" s="530">
        <f t="shared" si="0"/>
        <v>3211429</v>
      </c>
      <c r="T40" s="477" t="s">
        <v>98</v>
      </c>
      <c r="U40" s="477" t="s">
        <v>87</v>
      </c>
      <c r="V40" s="477" t="s">
        <v>87</v>
      </c>
      <c r="W40" s="477" t="s">
        <v>88</v>
      </c>
      <c r="X40" s="477" t="s">
        <v>89</v>
      </c>
      <c r="Y40" s="477" t="s">
        <v>90</v>
      </c>
      <c r="Z40" s="477" t="s">
        <v>91</v>
      </c>
      <c r="AA40" s="477" t="s">
        <v>99</v>
      </c>
    </row>
    <row r="41" spans="2:27" hidden="1">
      <c r="B41" s="477" t="s">
        <v>77</v>
      </c>
      <c r="C41" s="477">
        <v>32</v>
      </c>
      <c r="D41" s="477" t="s">
        <v>78</v>
      </c>
      <c r="E41" s="534" t="s">
        <v>207</v>
      </c>
      <c r="F41" s="477" t="s">
        <v>161</v>
      </c>
      <c r="G41" s="477" t="s">
        <v>208</v>
      </c>
      <c r="H41" s="477" t="s">
        <v>209</v>
      </c>
      <c r="I41" s="477"/>
      <c r="J41" s="477" t="s">
        <v>83</v>
      </c>
      <c r="K41" s="474" t="s">
        <v>20</v>
      </c>
      <c r="L41" s="474" t="s">
        <v>750</v>
      </c>
      <c r="M41" s="477" t="s">
        <v>210</v>
      </c>
      <c r="N41" s="476">
        <v>14154.4</v>
      </c>
      <c r="O41" s="477" t="s">
        <v>211</v>
      </c>
      <c r="P41" s="719">
        <v>3184650</v>
      </c>
      <c r="Q41" s="719">
        <v>0</v>
      </c>
      <c r="R41" s="719">
        <v>0</v>
      </c>
      <c r="S41" s="530">
        <f t="shared" si="0"/>
        <v>3184650</v>
      </c>
      <c r="T41" s="477" t="s">
        <v>98</v>
      </c>
      <c r="U41" s="477" t="s">
        <v>87</v>
      </c>
      <c r="V41" s="477" t="s">
        <v>87</v>
      </c>
      <c r="W41" s="477" t="s">
        <v>88</v>
      </c>
      <c r="X41" s="477" t="s">
        <v>89</v>
      </c>
      <c r="Y41" s="477" t="s">
        <v>90</v>
      </c>
      <c r="Z41" s="477" t="s">
        <v>91</v>
      </c>
      <c r="AA41" s="477" t="s">
        <v>122</v>
      </c>
    </row>
    <row r="42" spans="2:27" hidden="1">
      <c r="B42" s="477" t="s">
        <v>77</v>
      </c>
      <c r="C42" s="477" t="s">
        <v>212</v>
      </c>
      <c r="D42" s="477" t="s">
        <v>107</v>
      </c>
      <c r="E42" s="532" t="s">
        <v>213</v>
      </c>
      <c r="F42" s="477" t="s">
        <v>161</v>
      </c>
      <c r="G42" s="477" t="s">
        <v>214</v>
      </c>
      <c r="H42" s="477" t="s">
        <v>128</v>
      </c>
      <c r="I42" s="477"/>
      <c r="J42" s="477" t="s">
        <v>112</v>
      </c>
      <c r="K42" s="474" t="s">
        <v>20</v>
      </c>
      <c r="L42" s="474" t="s">
        <v>750</v>
      </c>
      <c r="M42" s="477" t="s">
        <v>158</v>
      </c>
      <c r="N42" s="476">
        <v>5538</v>
      </c>
      <c r="O42" s="477" t="s">
        <v>215</v>
      </c>
      <c r="P42" s="719">
        <v>719940</v>
      </c>
      <c r="Q42" s="719">
        <v>0</v>
      </c>
      <c r="R42" s="719">
        <v>1870</v>
      </c>
      <c r="S42" s="530">
        <f t="shared" si="0"/>
        <v>721810</v>
      </c>
      <c r="T42" s="477" t="s">
        <v>115</v>
      </c>
      <c r="U42" s="532" t="s">
        <v>87</v>
      </c>
      <c r="V42" s="532" t="s">
        <v>87</v>
      </c>
      <c r="W42" s="532" t="s">
        <v>88</v>
      </c>
      <c r="X42" s="532" t="s">
        <v>89</v>
      </c>
      <c r="Y42" s="532" t="s">
        <v>90</v>
      </c>
      <c r="Z42" s="532" t="s">
        <v>116</v>
      </c>
      <c r="AA42" s="477" t="s">
        <v>135</v>
      </c>
    </row>
    <row r="43" spans="2:27" hidden="1">
      <c r="B43" s="477" t="s">
        <v>216</v>
      </c>
      <c r="C43" s="477">
        <v>1</v>
      </c>
      <c r="D43" s="477" t="s">
        <v>78</v>
      </c>
      <c r="E43" s="477" t="s">
        <v>217</v>
      </c>
      <c r="F43" s="477" t="s">
        <v>80</v>
      </c>
      <c r="G43" s="477" t="s">
        <v>218</v>
      </c>
      <c r="H43" s="477" t="s">
        <v>219</v>
      </c>
      <c r="I43" s="477"/>
      <c r="J43" s="477" t="s">
        <v>112</v>
      </c>
      <c r="K43" s="477" t="s">
        <v>445</v>
      </c>
      <c r="L43" s="474" t="s">
        <v>750</v>
      </c>
      <c r="M43" s="477" t="s">
        <v>133</v>
      </c>
      <c r="N43" s="476">
        <v>3250</v>
      </c>
      <c r="O43" s="477" t="s">
        <v>220</v>
      </c>
      <c r="P43" s="719">
        <v>1056250</v>
      </c>
      <c r="Q43" s="719">
        <v>0</v>
      </c>
      <c r="R43" s="719">
        <v>0</v>
      </c>
      <c r="S43" s="530">
        <f t="shared" ref="S43:S74" si="1">SUM(P43:R43)</f>
        <v>1056250</v>
      </c>
      <c r="T43" s="477" t="s">
        <v>115</v>
      </c>
      <c r="U43" s="477" t="s">
        <v>87</v>
      </c>
      <c r="V43" s="477" t="s">
        <v>87</v>
      </c>
      <c r="W43" s="477" t="s">
        <v>87</v>
      </c>
      <c r="X43" s="477" t="s">
        <v>89</v>
      </c>
      <c r="Y43" s="477" t="s">
        <v>90</v>
      </c>
      <c r="Z43" s="477" t="s">
        <v>87</v>
      </c>
      <c r="AA43" s="477" t="s">
        <v>221</v>
      </c>
    </row>
    <row r="44" spans="2:27" hidden="1">
      <c r="B44" s="477" t="s">
        <v>216</v>
      </c>
      <c r="C44" s="477">
        <v>2</v>
      </c>
      <c r="D44" s="477" t="s">
        <v>78</v>
      </c>
      <c r="E44" s="477" t="s">
        <v>222</v>
      </c>
      <c r="F44" s="477" t="s">
        <v>80</v>
      </c>
      <c r="G44" s="477" t="s">
        <v>223</v>
      </c>
      <c r="H44" s="477" t="s">
        <v>219</v>
      </c>
      <c r="I44" s="477"/>
      <c r="J44" s="477" t="s">
        <v>112</v>
      </c>
      <c r="K44" s="477" t="s">
        <v>445</v>
      </c>
      <c r="L44" s="474" t="s">
        <v>750</v>
      </c>
      <c r="M44" s="477" t="s">
        <v>133</v>
      </c>
      <c r="N44" s="476">
        <v>3450</v>
      </c>
      <c r="O44" s="477" t="s">
        <v>224</v>
      </c>
      <c r="P44" s="719">
        <v>1035000</v>
      </c>
      <c r="Q44" s="719">
        <v>0</v>
      </c>
      <c r="R44" s="719">
        <v>0</v>
      </c>
      <c r="S44" s="530">
        <f t="shared" si="1"/>
        <v>1035000</v>
      </c>
      <c r="T44" s="477" t="s">
        <v>115</v>
      </c>
      <c r="U44" s="477" t="s">
        <v>87</v>
      </c>
      <c r="V44" s="477" t="s">
        <v>87</v>
      </c>
      <c r="W44" s="477" t="s">
        <v>87</v>
      </c>
      <c r="X44" s="477" t="s">
        <v>89</v>
      </c>
      <c r="Y44" s="477" t="s">
        <v>90</v>
      </c>
      <c r="Z44" s="477" t="s">
        <v>116</v>
      </c>
      <c r="AA44" s="477" t="s">
        <v>225</v>
      </c>
    </row>
    <row r="45" spans="2:27" hidden="1">
      <c r="B45" s="477" t="s">
        <v>216</v>
      </c>
      <c r="C45" s="477">
        <v>3</v>
      </c>
      <c r="D45" s="477" t="s">
        <v>78</v>
      </c>
      <c r="E45" s="477" t="s">
        <v>226</v>
      </c>
      <c r="F45" s="477" t="s">
        <v>80</v>
      </c>
      <c r="G45" s="477" t="s">
        <v>227</v>
      </c>
      <c r="H45" s="477" t="s">
        <v>228</v>
      </c>
      <c r="I45" s="477"/>
      <c r="J45" s="477" t="s">
        <v>112</v>
      </c>
      <c r="K45" s="477" t="s">
        <v>445</v>
      </c>
      <c r="L45" s="474" t="s">
        <v>750</v>
      </c>
      <c r="M45" s="477" t="s">
        <v>229</v>
      </c>
      <c r="N45" s="476">
        <v>6900</v>
      </c>
      <c r="O45" s="477" t="s">
        <v>230</v>
      </c>
      <c r="P45" s="719">
        <v>2070000</v>
      </c>
      <c r="Q45" s="719">
        <v>0</v>
      </c>
      <c r="R45" s="719">
        <v>0</v>
      </c>
      <c r="S45" s="530">
        <f t="shared" si="1"/>
        <v>2070000</v>
      </c>
      <c r="T45" s="477" t="s">
        <v>115</v>
      </c>
      <c r="U45" s="477" t="s">
        <v>87</v>
      </c>
      <c r="V45" s="477" t="s">
        <v>87</v>
      </c>
      <c r="W45" s="477" t="s">
        <v>87</v>
      </c>
      <c r="X45" s="477" t="s">
        <v>190</v>
      </c>
      <c r="Y45" s="477" t="s">
        <v>90</v>
      </c>
      <c r="Z45" s="477" t="s">
        <v>116</v>
      </c>
      <c r="AA45" s="477" t="s">
        <v>231</v>
      </c>
    </row>
    <row r="46" spans="2:27">
      <c r="B46" s="477" t="s">
        <v>216</v>
      </c>
      <c r="C46" s="536">
        <v>4</v>
      </c>
      <c r="D46" s="477" t="s">
        <v>107</v>
      </c>
      <c r="E46" s="477" t="s">
        <v>232</v>
      </c>
      <c r="F46" s="477" t="s">
        <v>80</v>
      </c>
      <c r="G46" s="477" t="s">
        <v>233</v>
      </c>
      <c r="H46" s="477" t="s">
        <v>234</v>
      </c>
      <c r="I46" s="477"/>
      <c r="J46" s="477" t="s">
        <v>112</v>
      </c>
      <c r="K46" s="477" t="s">
        <v>445</v>
      </c>
      <c r="L46" s="477" t="s">
        <v>438</v>
      </c>
      <c r="M46" s="477" t="s">
        <v>235</v>
      </c>
      <c r="N46" s="476">
        <v>6900</v>
      </c>
      <c r="O46" s="477" t="s">
        <v>230</v>
      </c>
      <c r="P46" s="719">
        <v>2070000</v>
      </c>
      <c r="Q46" s="719">
        <v>116411</v>
      </c>
      <c r="R46" s="719">
        <v>2202</v>
      </c>
      <c r="S46" s="530">
        <f t="shared" si="1"/>
        <v>2188613</v>
      </c>
      <c r="T46" s="477" t="s">
        <v>115</v>
      </c>
      <c r="U46" s="477" t="s">
        <v>87</v>
      </c>
      <c r="V46" s="477" t="s">
        <v>87</v>
      </c>
      <c r="W46" s="477" t="s">
        <v>87</v>
      </c>
      <c r="X46" s="477" t="s">
        <v>89</v>
      </c>
      <c r="Y46" s="477" t="s">
        <v>90</v>
      </c>
      <c r="Z46" s="477" t="s">
        <v>116</v>
      </c>
      <c r="AA46" s="477" t="s">
        <v>99</v>
      </c>
    </row>
    <row r="47" spans="2:27">
      <c r="B47" s="477" t="s">
        <v>216</v>
      </c>
      <c r="C47" s="536">
        <v>5</v>
      </c>
      <c r="D47" s="477" t="s">
        <v>107</v>
      </c>
      <c r="E47" s="474" t="s">
        <v>236</v>
      </c>
      <c r="F47" s="474" t="s">
        <v>80</v>
      </c>
      <c r="G47" s="474" t="s">
        <v>237</v>
      </c>
      <c r="H47" s="474" t="s">
        <v>234</v>
      </c>
      <c r="I47" s="477"/>
      <c r="J47" s="474" t="s">
        <v>112</v>
      </c>
      <c r="K47" s="477" t="s">
        <v>445</v>
      </c>
      <c r="L47" s="477" t="s">
        <v>438</v>
      </c>
      <c r="M47" s="474" t="s">
        <v>238</v>
      </c>
      <c r="N47" s="473">
        <v>13800</v>
      </c>
      <c r="O47" s="474" t="s">
        <v>239</v>
      </c>
      <c r="P47" s="719">
        <v>4140000</v>
      </c>
      <c r="Q47" s="719">
        <v>0</v>
      </c>
      <c r="R47" s="719">
        <v>2975</v>
      </c>
      <c r="S47" s="530">
        <f t="shared" si="1"/>
        <v>4142975</v>
      </c>
      <c r="T47" s="474" t="s">
        <v>115</v>
      </c>
      <c r="U47" s="477" t="s">
        <v>87</v>
      </c>
      <c r="V47" s="477" t="s">
        <v>87</v>
      </c>
      <c r="W47" s="477" t="s">
        <v>87</v>
      </c>
      <c r="X47" s="477" t="s">
        <v>89</v>
      </c>
      <c r="Y47" s="477" t="s">
        <v>90</v>
      </c>
      <c r="Z47" s="477" t="s">
        <v>116</v>
      </c>
      <c r="AA47" s="477" t="s">
        <v>240</v>
      </c>
    </row>
    <row r="48" spans="2:27">
      <c r="B48" s="477" t="s">
        <v>216</v>
      </c>
      <c r="C48" s="536">
        <v>6</v>
      </c>
      <c r="D48" s="477" t="s">
        <v>107</v>
      </c>
      <c r="E48" s="477" t="s">
        <v>241</v>
      </c>
      <c r="F48" s="477" t="s">
        <v>80</v>
      </c>
      <c r="G48" s="477" t="s">
        <v>242</v>
      </c>
      <c r="H48" s="477" t="s">
        <v>243</v>
      </c>
      <c r="I48" s="477"/>
      <c r="J48" s="477" t="s">
        <v>112</v>
      </c>
      <c r="K48" s="477" t="s">
        <v>445</v>
      </c>
      <c r="L48" s="477" t="s">
        <v>438</v>
      </c>
      <c r="M48" s="532" t="s">
        <v>133</v>
      </c>
      <c r="N48" s="476">
        <v>6900</v>
      </c>
      <c r="O48" s="477" t="s">
        <v>230</v>
      </c>
      <c r="P48" s="721">
        <v>2070000</v>
      </c>
      <c r="Q48" s="537">
        <v>0</v>
      </c>
      <c r="R48" s="722">
        <v>0</v>
      </c>
      <c r="S48" s="530">
        <f t="shared" si="1"/>
        <v>2070000</v>
      </c>
      <c r="T48" s="532" t="s">
        <v>115</v>
      </c>
      <c r="U48" s="477" t="s">
        <v>87</v>
      </c>
      <c r="V48" s="477" t="s">
        <v>87</v>
      </c>
      <c r="W48" s="477" t="s">
        <v>87</v>
      </c>
      <c r="X48" s="477" t="s">
        <v>89</v>
      </c>
      <c r="Y48" s="477" t="s">
        <v>90</v>
      </c>
      <c r="Z48" s="477" t="s">
        <v>244</v>
      </c>
      <c r="AA48" s="477" t="s">
        <v>245</v>
      </c>
    </row>
    <row r="49" spans="2:27">
      <c r="B49" s="477" t="s">
        <v>216</v>
      </c>
      <c r="C49" s="536">
        <v>7</v>
      </c>
      <c r="D49" s="477" t="s">
        <v>107</v>
      </c>
      <c r="E49" s="474" t="s">
        <v>246</v>
      </c>
      <c r="F49" s="474" t="s">
        <v>80</v>
      </c>
      <c r="G49" s="474" t="s">
        <v>247</v>
      </c>
      <c r="H49" s="474" t="s">
        <v>234</v>
      </c>
      <c r="I49" s="477"/>
      <c r="J49" s="474" t="s">
        <v>112</v>
      </c>
      <c r="K49" s="477" t="s">
        <v>445</v>
      </c>
      <c r="L49" s="477" t="s">
        <v>438</v>
      </c>
      <c r="M49" s="474" t="s">
        <v>113</v>
      </c>
      <c r="N49" s="473">
        <v>13800</v>
      </c>
      <c r="O49" s="474" t="s">
        <v>239</v>
      </c>
      <c r="P49" s="719">
        <v>4140000</v>
      </c>
      <c r="Q49" s="719">
        <v>197950</v>
      </c>
      <c r="R49" s="720">
        <v>9903</v>
      </c>
      <c r="S49" s="530">
        <f t="shared" si="1"/>
        <v>4347853</v>
      </c>
      <c r="T49" s="474" t="s">
        <v>115</v>
      </c>
      <c r="U49" s="477" t="s">
        <v>87</v>
      </c>
      <c r="V49" s="477" t="s">
        <v>87</v>
      </c>
      <c r="W49" s="477" t="s">
        <v>87</v>
      </c>
      <c r="X49" s="477" t="s">
        <v>89</v>
      </c>
      <c r="Y49" s="477" t="s">
        <v>90</v>
      </c>
      <c r="Z49" s="477" t="s">
        <v>116</v>
      </c>
      <c r="AA49" s="477" t="s">
        <v>117</v>
      </c>
    </row>
    <row r="50" spans="2:27">
      <c r="B50" s="477" t="s">
        <v>216</v>
      </c>
      <c r="C50" s="536">
        <v>8</v>
      </c>
      <c r="D50" s="477" t="s">
        <v>107</v>
      </c>
      <c r="E50" s="474" t="s">
        <v>248</v>
      </c>
      <c r="F50" s="474" t="s">
        <v>80</v>
      </c>
      <c r="G50" s="529" t="s">
        <v>249</v>
      </c>
      <c r="H50" s="474" t="s">
        <v>234</v>
      </c>
      <c r="I50" s="477"/>
      <c r="J50" s="474" t="s">
        <v>112</v>
      </c>
      <c r="K50" s="477" t="s">
        <v>445</v>
      </c>
      <c r="L50" s="477" t="s">
        <v>438</v>
      </c>
      <c r="M50" s="474" t="s">
        <v>113</v>
      </c>
      <c r="N50" s="473">
        <v>6900</v>
      </c>
      <c r="O50" s="474" t="s">
        <v>230</v>
      </c>
      <c r="P50" s="719">
        <v>2070000</v>
      </c>
      <c r="Q50" s="719">
        <v>117464</v>
      </c>
      <c r="R50" s="719">
        <v>18982</v>
      </c>
      <c r="S50" s="530">
        <f t="shared" si="1"/>
        <v>2206446</v>
      </c>
      <c r="T50" s="474" t="s">
        <v>115</v>
      </c>
      <c r="U50" s="477" t="s">
        <v>87</v>
      </c>
      <c r="V50" s="477" t="s">
        <v>87</v>
      </c>
      <c r="W50" s="477" t="s">
        <v>87</v>
      </c>
      <c r="X50" s="477" t="s">
        <v>89</v>
      </c>
      <c r="Y50" s="477" t="s">
        <v>90</v>
      </c>
      <c r="Z50" s="477" t="s">
        <v>116</v>
      </c>
      <c r="AA50" s="477" t="s">
        <v>117</v>
      </c>
    </row>
    <row r="51" spans="2:27">
      <c r="B51" s="477" t="s">
        <v>216</v>
      </c>
      <c r="C51" s="536">
        <v>9</v>
      </c>
      <c r="D51" s="477" t="s">
        <v>107</v>
      </c>
      <c r="E51" s="474" t="s">
        <v>250</v>
      </c>
      <c r="F51" s="474" t="s">
        <v>80</v>
      </c>
      <c r="G51" s="474" t="s">
        <v>251</v>
      </c>
      <c r="H51" s="529" t="s">
        <v>252</v>
      </c>
      <c r="I51" s="477"/>
      <c r="J51" s="474" t="s">
        <v>112</v>
      </c>
      <c r="K51" s="477" t="s">
        <v>445</v>
      </c>
      <c r="L51" s="477" t="s">
        <v>438</v>
      </c>
      <c r="M51" s="474" t="s">
        <v>133</v>
      </c>
      <c r="N51" s="473">
        <v>6900</v>
      </c>
      <c r="O51" s="474" t="s">
        <v>230</v>
      </c>
      <c r="P51" s="719">
        <v>2070000</v>
      </c>
      <c r="Q51" s="719">
        <v>0</v>
      </c>
      <c r="R51" s="719">
        <v>0</v>
      </c>
      <c r="S51" s="530">
        <f t="shared" si="1"/>
        <v>2070000</v>
      </c>
      <c r="T51" s="477" t="s">
        <v>115</v>
      </c>
      <c r="U51" s="477" t="s">
        <v>87</v>
      </c>
      <c r="V51" s="477" t="s">
        <v>87</v>
      </c>
      <c r="W51" s="477" t="s">
        <v>87</v>
      </c>
      <c r="X51" s="477" t="s">
        <v>89</v>
      </c>
      <c r="Y51" s="477" t="s">
        <v>90</v>
      </c>
      <c r="Z51" s="477" t="s">
        <v>116</v>
      </c>
      <c r="AA51" s="477" t="s">
        <v>240</v>
      </c>
    </row>
    <row r="52" spans="2:27">
      <c r="B52" s="477" t="s">
        <v>216</v>
      </c>
      <c r="C52" s="536">
        <v>10</v>
      </c>
      <c r="D52" s="477" t="s">
        <v>107</v>
      </c>
      <c r="E52" s="474" t="s">
        <v>253</v>
      </c>
      <c r="F52" s="474" t="s">
        <v>80</v>
      </c>
      <c r="G52" s="529" t="s">
        <v>254</v>
      </c>
      <c r="H52" s="474" t="s">
        <v>255</v>
      </c>
      <c r="I52" s="477"/>
      <c r="J52" s="474" t="s">
        <v>112</v>
      </c>
      <c r="K52" s="477" t="s">
        <v>445</v>
      </c>
      <c r="L52" s="477" t="s">
        <v>438</v>
      </c>
      <c r="M52" s="474" t="s">
        <v>133</v>
      </c>
      <c r="N52" s="473">
        <v>24288</v>
      </c>
      <c r="O52" s="474" t="s">
        <v>256</v>
      </c>
      <c r="P52" s="720">
        <v>6557760</v>
      </c>
      <c r="Q52" s="719">
        <v>0</v>
      </c>
      <c r="R52" s="719">
        <v>0</v>
      </c>
      <c r="S52" s="530">
        <f t="shared" si="1"/>
        <v>6557760</v>
      </c>
      <c r="T52" s="477" t="s">
        <v>115</v>
      </c>
      <c r="U52" s="477" t="s">
        <v>87</v>
      </c>
      <c r="V52" s="477" t="s">
        <v>87</v>
      </c>
      <c r="W52" s="477" t="s">
        <v>87</v>
      </c>
      <c r="X52" s="477" t="s">
        <v>89</v>
      </c>
      <c r="Y52" s="477" t="s">
        <v>90</v>
      </c>
      <c r="Z52" s="477" t="s">
        <v>116</v>
      </c>
      <c r="AA52" s="474" t="s">
        <v>122</v>
      </c>
    </row>
    <row r="53" spans="2:27" hidden="1">
      <c r="B53" s="477" t="s">
        <v>216</v>
      </c>
      <c r="C53" s="477">
        <v>11</v>
      </c>
      <c r="D53" s="477" t="s">
        <v>78</v>
      </c>
      <c r="E53" s="477" t="s">
        <v>257</v>
      </c>
      <c r="F53" s="477" t="s">
        <v>80</v>
      </c>
      <c r="G53" s="477" t="s">
        <v>258</v>
      </c>
      <c r="H53" s="477" t="s">
        <v>219</v>
      </c>
      <c r="I53" s="477"/>
      <c r="J53" s="477" t="s">
        <v>112</v>
      </c>
      <c r="K53" s="477" t="s">
        <v>445</v>
      </c>
      <c r="L53" s="474" t="s">
        <v>750</v>
      </c>
      <c r="M53" s="477" t="s">
        <v>133</v>
      </c>
      <c r="N53" s="476">
        <v>7106</v>
      </c>
      <c r="O53" s="477" t="s">
        <v>259</v>
      </c>
      <c r="P53" s="719">
        <v>2309450</v>
      </c>
      <c r="Q53" s="719">
        <v>0</v>
      </c>
      <c r="R53" s="719">
        <v>0</v>
      </c>
      <c r="S53" s="530">
        <f t="shared" si="1"/>
        <v>2309450</v>
      </c>
      <c r="T53" s="477" t="s">
        <v>115</v>
      </c>
      <c r="U53" s="477" t="s">
        <v>87</v>
      </c>
      <c r="V53" s="477" t="s">
        <v>87</v>
      </c>
      <c r="W53" s="477" t="s">
        <v>87</v>
      </c>
      <c r="X53" s="477" t="s">
        <v>89</v>
      </c>
      <c r="Y53" s="477" t="s">
        <v>90</v>
      </c>
      <c r="Z53" s="477" t="s">
        <v>116</v>
      </c>
      <c r="AA53" s="477" t="s">
        <v>260</v>
      </c>
    </row>
    <row r="54" spans="2:27" hidden="1">
      <c r="B54" s="477" t="s">
        <v>216</v>
      </c>
      <c r="C54" s="477">
        <v>12</v>
      </c>
      <c r="D54" s="477" t="s">
        <v>78</v>
      </c>
      <c r="E54" s="477" t="s">
        <v>261</v>
      </c>
      <c r="F54" s="477" t="s">
        <v>101</v>
      </c>
      <c r="G54" s="477" t="s">
        <v>262</v>
      </c>
      <c r="H54" s="477" t="s">
        <v>219</v>
      </c>
      <c r="I54" s="477"/>
      <c r="J54" s="477" t="s">
        <v>112</v>
      </c>
      <c r="K54" s="477" t="s">
        <v>445</v>
      </c>
      <c r="L54" s="474" t="s">
        <v>750</v>
      </c>
      <c r="M54" s="477" t="s">
        <v>263</v>
      </c>
      <c r="N54" s="476">
        <v>5250</v>
      </c>
      <c r="O54" s="477" t="s">
        <v>264</v>
      </c>
      <c r="P54" s="719">
        <v>1706250</v>
      </c>
      <c r="Q54" s="719">
        <v>347336</v>
      </c>
      <c r="R54" s="719">
        <v>34141</v>
      </c>
      <c r="S54" s="530">
        <f t="shared" si="1"/>
        <v>2087727</v>
      </c>
      <c r="T54" s="477" t="s">
        <v>115</v>
      </c>
      <c r="U54" s="477" t="s">
        <v>87</v>
      </c>
      <c r="V54" s="477" t="s">
        <v>87</v>
      </c>
      <c r="W54" s="477" t="s">
        <v>87</v>
      </c>
      <c r="X54" s="477" t="s">
        <v>89</v>
      </c>
      <c r="Y54" s="477" t="s">
        <v>90</v>
      </c>
      <c r="Z54" s="477" t="s">
        <v>116</v>
      </c>
      <c r="AA54" s="477" t="s">
        <v>260</v>
      </c>
    </row>
    <row r="55" spans="2:27" hidden="1">
      <c r="B55" s="477" t="s">
        <v>216</v>
      </c>
      <c r="C55" s="477">
        <v>13</v>
      </c>
      <c r="D55" s="477" t="s">
        <v>78</v>
      </c>
      <c r="E55" s="477" t="s">
        <v>265</v>
      </c>
      <c r="F55" s="477" t="s">
        <v>101</v>
      </c>
      <c r="G55" s="477" t="s">
        <v>266</v>
      </c>
      <c r="H55" s="477" t="s">
        <v>219</v>
      </c>
      <c r="I55" s="477"/>
      <c r="J55" s="477" t="s">
        <v>112</v>
      </c>
      <c r="K55" s="477" t="s">
        <v>445</v>
      </c>
      <c r="L55" s="474" t="s">
        <v>750</v>
      </c>
      <c r="M55" s="477" t="s">
        <v>267</v>
      </c>
      <c r="N55" s="476">
        <v>5250</v>
      </c>
      <c r="O55" s="477" t="s">
        <v>264</v>
      </c>
      <c r="P55" s="719">
        <v>1575000</v>
      </c>
      <c r="Q55" s="719">
        <v>0</v>
      </c>
      <c r="R55" s="719">
        <v>6810</v>
      </c>
      <c r="S55" s="530">
        <f t="shared" si="1"/>
        <v>1581810</v>
      </c>
      <c r="T55" s="477" t="s">
        <v>115</v>
      </c>
      <c r="U55" s="477" t="s">
        <v>87</v>
      </c>
      <c r="V55" s="477" t="s">
        <v>87</v>
      </c>
      <c r="W55" s="477" t="s">
        <v>87</v>
      </c>
      <c r="X55" s="477" t="s">
        <v>89</v>
      </c>
      <c r="Y55" s="477" t="s">
        <v>190</v>
      </c>
      <c r="Z55" s="477" t="s">
        <v>116</v>
      </c>
      <c r="AA55" s="477" t="s">
        <v>260</v>
      </c>
    </row>
    <row r="56" spans="2:27" hidden="1">
      <c r="B56" s="477" t="s">
        <v>216</v>
      </c>
      <c r="C56" s="477">
        <v>14</v>
      </c>
      <c r="D56" s="477" t="s">
        <v>78</v>
      </c>
      <c r="E56" s="477" t="s">
        <v>268</v>
      </c>
      <c r="F56" s="477" t="s">
        <v>101</v>
      </c>
      <c r="G56" s="477" t="s">
        <v>269</v>
      </c>
      <c r="H56" s="477" t="s">
        <v>219</v>
      </c>
      <c r="I56" s="477"/>
      <c r="J56" s="477" t="s">
        <v>270</v>
      </c>
      <c r="K56" s="477" t="s">
        <v>445</v>
      </c>
      <c r="L56" s="474" t="s">
        <v>750</v>
      </c>
      <c r="M56" s="477" t="s">
        <v>133</v>
      </c>
      <c r="N56" s="476">
        <v>825</v>
      </c>
      <c r="O56" s="477" t="s">
        <v>271</v>
      </c>
      <c r="P56" s="719">
        <v>92812</v>
      </c>
      <c r="Q56" s="719">
        <v>0</v>
      </c>
      <c r="R56" s="719">
        <v>0</v>
      </c>
      <c r="S56" s="530">
        <f t="shared" si="1"/>
        <v>92812</v>
      </c>
      <c r="T56" s="477" t="s">
        <v>272</v>
      </c>
      <c r="U56" s="477" t="s">
        <v>87</v>
      </c>
      <c r="V56" s="477" t="s">
        <v>87</v>
      </c>
      <c r="W56" s="477" t="s">
        <v>87</v>
      </c>
      <c r="X56" s="477" t="s">
        <v>89</v>
      </c>
      <c r="Y56" s="477" t="s">
        <v>90</v>
      </c>
      <c r="Z56" s="477" t="s">
        <v>273</v>
      </c>
      <c r="AA56" s="477" t="s">
        <v>231</v>
      </c>
    </row>
    <row r="57" spans="2:27" hidden="1">
      <c r="B57" s="477" t="s">
        <v>216</v>
      </c>
      <c r="C57" s="477">
        <v>15</v>
      </c>
      <c r="D57" s="477" t="s">
        <v>78</v>
      </c>
      <c r="E57" s="477" t="s">
        <v>274</v>
      </c>
      <c r="F57" s="477" t="s">
        <v>101</v>
      </c>
      <c r="G57" s="477" t="s">
        <v>275</v>
      </c>
      <c r="H57" s="477" t="s">
        <v>276</v>
      </c>
      <c r="I57" s="477"/>
      <c r="J57" s="477" t="s">
        <v>270</v>
      </c>
      <c r="K57" s="477" t="s">
        <v>445</v>
      </c>
      <c r="L57" s="474" t="s">
        <v>750</v>
      </c>
      <c r="M57" s="477" t="s">
        <v>139</v>
      </c>
      <c r="N57" s="476">
        <v>1750</v>
      </c>
      <c r="O57" s="477" t="s">
        <v>140</v>
      </c>
      <c r="P57" s="719">
        <v>196875</v>
      </c>
      <c r="Q57" s="719">
        <v>13227</v>
      </c>
      <c r="R57" s="719">
        <v>560</v>
      </c>
      <c r="S57" s="530">
        <f t="shared" si="1"/>
        <v>210662</v>
      </c>
      <c r="T57" s="477" t="s">
        <v>272</v>
      </c>
      <c r="U57" s="477" t="s">
        <v>87</v>
      </c>
      <c r="V57" s="477" t="s">
        <v>87</v>
      </c>
      <c r="W57" s="477" t="s">
        <v>87</v>
      </c>
      <c r="X57" s="477" t="s">
        <v>89</v>
      </c>
      <c r="Y57" s="477" t="s">
        <v>90</v>
      </c>
      <c r="Z57" s="477" t="s">
        <v>273</v>
      </c>
      <c r="AA57" s="477" t="s">
        <v>135</v>
      </c>
    </row>
    <row r="58" spans="2:27" hidden="1">
      <c r="B58" s="477" t="s">
        <v>216</v>
      </c>
      <c r="C58" s="477">
        <v>16</v>
      </c>
      <c r="D58" s="477" t="s">
        <v>78</v>
      </c>
      <c r="E58" s="477" t="s">
        <v>277</v>
      </c>
      <c r="F58" s="477" t="s">
        <v>101</v>
      </c>
      <c r="G58" s="477" t="s">
        <v>278</v>
      </c>
      <c r="H58" s="477" t="s">
        <v>279</v>
      </c>
      <c r="I58" s="477"/>
      <c r="J58" s="477" t="s">
        <v>270</v>
      </c>
      <c r="K58" s="477" t="s">
        <v>445</v>
      </c>
      <c r="L58" s="474" t="s">
        <v>750</v>
      </c>
      <c r="M58" s="477" t="s">
        <v>280</v>
      </c>
      <c r="N58" s="476">
        <v>7000</v>
      </c>
      <c r="O58" s="477" t="s">
        <v>153</v>
      </c>
      <c r="P58" s="719">
        <v>1050000</v>
      </c>
      <c r="Q58" s="719">
        <v>50986</v>
      </c>
      <c r="R58" s="719">
        <v>32354</v>
      </c>
      <c r="S58" s="530">
        <f t="shared" si="1"/>
        <v>1133340</v>
      </c>
      <c r="T58" s="477" t="s">
        <v>272</v>
      </c>
      <c r="U58" s="477" t="s">
        <v>87</v>
      </c>
      <c r="V58" s="477" t="s">
        <v>87</v>
      </c>
      <c r="W58" s="477" t="s">
        <v>87</v>
      </c>
      <c r="X58" s="477" t="s">
        <v>89</v>
      </c>
      <c r="Y58" s="477" t="s">
        <v>90</v>
      </c>
      <c r="Z58" s="477" t="s">
        <v>273</v>
      </c>
      <c r="AA58" s="477" t="s">
        <v>281</v>
      </c>
    </row>
    <row r="59" spans="2:27" hidden="1">
      <c r="B59" s="477" t="s">
        <v>216</v>
      </c>
      <c r="C59" s="477">
        <v>17</v>
      </c>
      <c r="D59" s="477" t="s">
        <v>78</v>
      </c>
      <c r="E59" s="474" t="s">
        <v>282</v>
      </c>
      <c r="F59" s="474" t="s">
        <v>101</v>
      </c>
      <c r="G59" s="474" t="s">
        <v>283</v>
      </c>
      <c r="H59" s="474" t="s">
        <v>279</v>
      </c>
      <c r="I59" s="477"/>
      <c r="J59" s="474" t="s">
        <v>270</v>
      </c>
      <c r="K59" s="477" t="s">
        <v>445</v>
      </c>
      <c r="L59" s="474" t="s">
        <v>750</v>
      </c>
      <c r="M59" s="474" t="s">
        <v>284</v>
      </c>
      <c r="N59" s="472">
        <v>5250</v>
      </c>
      <c r="O59" s="475" t="s">
        <v>264</v>
      </c>
      <c r="P59" s="720">
        <v>787500</v>
      </c>
      <c r="Q59" s="720">
        <v>27972</v>
      </c>
      <c r="R59" s="719">
        <v>1844</v>
      </c>
      <c r="S59" s="530">
        <f t="shared" si="1"/>
        <v>817316</v>
      </c>
      <c r="T59" s="477" t="s">
        <v>272</v>
      </c>
      <c r="U59" s="477" t="s">
        <v>87</v>
      </c>
      <c r="V59" s="477" t="s">
        <v>87</v>
      </c>
      <c r="W59" s="477" t="s">
        <v>87</v>
      </c>
      <c r="X59" s="477" t="s">
        <v>89</v>
      </c>
      <c r="Y59" s="477" t="s">
        <v>90</v>
      </c>
      <c r="Z59" s="477" t="s">
        <v>273</v>
      </c>
      <c r="AA59" s="477" t="s">
        <v>99</v>
      </c>
    </row>
    <row r="60" spans="2:27">
      <c r="B60" s="477" t="s">
        <v>216</v>
      </c>
      <c r="C60" s="536">
        <v>18</v>
      </c>
      <c r="D60" s="477" t="s">
        <v>107</v>
      </c>
      <c r="E60" s="474" t="s">
        <v>285</v>
      </c>
      <c r="F60" s="474" t="s">
        <v>101</v>
      </c>
      <c r="G60" s="474" t="s">
        <v>286</v>
      </c>
      <c r="H60" s="474" t="s">
        <v>287</v>
      </c>
      <c r="I60" s="477"/>
      <c r="J60" s="474" t="s">
        <v>270</v>
      </c>
      <c r="K60" s="477" t="s">
        <v>445</v>
      </c>
      <c r="L60" s="477" t="s">
        <v>438</v>
      </c>
      <c r="M60" s="474" t="s">
        <v>133</v>
      </c>
      <c r="N60" s="472">
        <v>1750</v>
      </c>
      <c r="O60" s="475" t="s">
        <v>140</v>
      </c>
      <c r="P60" s="720">
        <v>262500</v>
      </c>
      <c r="Q60" s="719">
        <v>0</v>
      </c>
      <c r="R60" s="719">
        <v>0</v>
      </c>
      <c r="S60" s="530">
        <f t="shared" si="1"/>
        <v>262500</v>
      </c>
      <c r="T60" s="477" t="s">
        <v>272</v>
      </c>
      <c r="U60" s="477" t="s">
        <v>87</v>
      </c>
      <c r="V60" s="477" t="s">
        <v>87</v>
      </c>
      <c r="W60" s="477" t="s">
        <v>87</v>
      </c>
      <c r="X60" s="477" t="s">
        <v>89</v>
      </c>
      <c r="Y60" s="477" t="s">
        <v>90</v>
      </c>
      <c r="Z60" s="477" t="s">
        <v>273</v>
      </c>
      <c r="AA60" s="477" t="s">
        <v>122</v>
      </c>
    </row>
    <row r="61" spans="2:27">
      <c r="B61" s="477" t="s">
        <v>216</v>
      </c>
      <c r="C61" s="536">
        <v>19</v>
      </c>
      <c r="D61" s="477" t="s">
        <v>107</v>
      </c>
      <c r="E61" s="474" t="s">
        <v>288</v>
      </c>
      <c r="F61" s="474" t="s">
        <v>101</v>
      </c>
      <c r="G61" s="474" t="s">
        <v>289</v>
      </c>
      <c r="H61" s="474" t="s">
        <v>234</v>
      </c>
      <c r="I61" s="477"/>
      <c r="J61" s="474" t="s">
        <v>270</v>
      </c>
      <c r="K61" s="477" t="s">
        <v>445</v>
      </c>
      <c r="L61" s="477" t="s">
        <v>438</v>
      </c>
      <c r="M61" s="474" t="s">
        <v>267</v>
      </c>
      <c r="N61" s="473">
        <v>1750</v>
      </c>
      <c r="O61" s="474" t="s">
        <v>140</v>
      </c>
      <c r="P61" s="719">
        <v>262500</v>
      </c>
      <c r="Q61" s="719">
        <v>0</v>
      </c>
      <c r="R61" s="719">
        <v>0</v>
      </c>
      <c r="S61" s="530">
        <f t="shared" si="1"/>
        <v>262500</v>
      </c>
      <c r="T61" s="477" t="s">
        <v>272</v>
      </c>
      <c r="U61" s="477" t="s">
        <v>87</v>
      </c>
      <c r="V61" s="477" t="s">
        <v>87</v>
      </c>
      <c r="W61" s="477" t="s">
        <v>87</v>
      </c>
      <c r="X61" s="477" t="s">
        <v>89</v>
      </c>
      <c r="Y61" s="477" t="s">
        <v>90</v>
      </c>
      <c r="Z61" s="477" t="s">
        <v>273</v>
      </c>
      <c r="AA61" s="477" t="s">
        <v>122</v>
      </c>
    </row>
    <row r="62" spans="2:27">
      <c r="B62" s="477" t="s">
        <v>216</v>
      </c>
      <c r="C62" s="536">
        <v>20</v>
      </c>
      <c r="D62" s="477" t="s">
        <v>107</v>
      </c>
      <c r="E62" s="474" t="s">
        <v>290</v>
      </c>
      <c r="F62" s="474" t="s">
        <v>101</v>
      </c>
      <c r="G62" s="474" t="s">
        <v>291</v>
      </c>
      <c r="H62" s="474" t="s">
        <v>234</v>
      </c>
      <c r="I62" s="477"/>
      <c r="J62" s="474" t="s">
        <v>270</v>
      </c>
      <c r="K62" s="477" t="s">
        <v>445</v>
      </c>
      <c r="L62" s="477" t="s">
        <v>438</v>
      </c>
      <c r="M62" s="474" t="s">
        <v>267</v>
      </c>
      <c r="N62" s="472">
        <v>3500</v>
      </c>
      <c r="O62" s="475" t="s">
        <v>144</v>
      </c>
      <c r="P62" s="719">
        <v>525000</v>
      </c>
      <c r="Q62" s="719">
        <v>0</v>
      </c>
      <c r="R62" s="719">
        <v>0</v>
      </c>
      <c r="S62" s="530">
        <f t="shared" si="1"/>
        <v>525000</v>
      </c>
      <c r="T62" s="477" t="s">
        <v>272</v>
      </c>
      <c r="U62" s="477" t="s">
        <v>87</v>
      </c>
      <c r="V62" s="477" t="s">
        <v>87</v>
      </c>
      <c r="W62" s="477" t="s">
        <v>87</v>
      </c>
      <c r="X62" s="477" t="s">
        <v>89</v>
      </c>
      <c r="Y62" s="477" t="s">
        <v>90</v>
      </c>
      <c r="Z62" s="477" t="s">
        <v>273</v>
      </c>
      <c r="AA62" s="477" t="s">
        <v>122</v>
      </c>
    </row>
    <row r="63" spans="2:27">
      <c r="B63" s="477" t="s">
        <v>216</v>
      </c>
      <c r="C63" s="536">
        <v>21</v>
      </c>
      <c r="D63" s="477" t="s">
        <v>107</v>
      </c>
      <c r="E63" s="474" t="s">
        <v>292</v>
      </c>
      <c r="F63" s="474" t="s">
        <v>101</v>
      </c>
      <c r="G63" s="474" t="s">
        <v>293</v>
      </c>
      <c r="H63" s="474" t="s">
        <v>234</v>
      </c>
      <c r="I63" s="477"/>
      <c r="J63" s="474" t="s">
        <v>270</v>
      </c>
      <c r="K63" s="477" t="s">
        <v>445</v>
      </c>
      <c r="L63" s="477" t="s">
        <v>438</v>
      </c>
      <c r="M63" s="474" t="s">
        <v>267</v>
      </c>
      <c r="N63" s="473">
        <v>3500</v>
      </c>
      <c r="O63" s="474" t="s">
        <v>144</v>
      </c>
      <c r="P63" s="720">
        <v>525000</v>
      </c>
      <c r="Q63" s="719">
        <v>0</v>
      </c>
      <c r="R63" s="719">
        <v>0</v>
      </c>
      <c r="S63" s="530">
        <f t="shared" si="1"/>
        <v>525000</v>
      </c>
      <c r="T63" s="477" t="s">
        <v>272</v>
      </c>
      <c r="U63" s="477" t="s">
        <v>87</v>
      </c>
      <c r="V63" s="477" t="s">
        <v>87</v>
      </c>
      <c r="W63" s="477" t="s">
        <v>87</v>
      </c>
      <c r="X63" s="477" t="s">
        <v>89</v>
      </c>
      <c r="Y63" s="477" t="s">
        <v>90</v>
      </c>
      <c r="Z63" s="477" t="s">
        <v>273</v>
      </c>
      <c r="AA63" s="477" t="s">
        <v>122</v>
      </c>
    </row>
    <row r="64" spans="2:27">
      <c r="B64" s="477" t="s">
        <v>216</v>
      </c>
      <c r="C64" s="536">
        <v>22</v>
      </c>
      <c r="D64" s="477" t="s">
        <v>107</v>
      </c>
      <c r="E64" s="474" t="s">
        <v>294</v>
      </c>
      <c r="F64" s="474" t="s">
        <v>101</v>
      </c>
      <c r="G64" s="474" t="s">
        <v>295</v>
      </c>
      <c r="H64" s="474" t="s">
        <v>296</v>
      </c>
      <c r="I64" s="477"/>
      <c r="J64" s="474" t="s">
        <v>270</v>
      </c>
      <c r="K64" s="477" t="s">
        <v>445</v>
      </c>
      <c r="L64" s="477" t="s">
        <v>438</v>
      </c>
      <c r="M64" s="474" t="s">
        <v>267</v>
      </c>
      <c r="N64" s="473">
        <v>1750</v>
      </c>
      <c r="O64" s="474" t="s">
        <v>140</v>
      </c>
      <c r="P64" s="720">
        <v>262500</v>
      </c>
      <c r="Q64" s="719">
        <v>0</v>
      </c>
      <c r="R64" s="719">
        <v>0</v>
      </c>
      <c r="S64" s="530">
        <f t="shared" si="1"/>
        <v>262500</v>
      </c>
      <c r="T64" s="477" t="s">
        <v>272</v>
      </c>
      <c r="U64" s="477" t="s">
        <v>87</v>
      </c>
      <c r="V64" s="477" t="s">
        <v>87</v>
      </c>
      <c r="W64" s="477" t="s">
        <v>87</v>
      </c>
      <c r="X64" s="477" t="s">
        <v>89</v>
      </c>
      <c r="Y64" s="477" t="s">
        <v>90</v>
      </c>
      <c r="Z64" s="477" t="s">
        <v>273</v>
      </c>
      <c r="AA64" s="474" t="s">
        <v>297</v>
      </c>
    </row>
    <row r="65" spans="2:27">
      <c r="B65" s="477" t="s">
        <v>216</v>
      </c>
      <c r="C65" s="536">
        <v>23</v>
      </c>
      <c r="D65" s="477" t="s">
        <v>107</v>
      </c>
      <c r="E65" s="474" t="s">
        <v>298</v>
      </c>
      <c r="F65" s="477" t="s">
        <v>101</v>
      </c>
      <c r="G65" s="474" t="s">
        <v>299</v>
      </c>
      <c r="H65" s="474" t="s">
        <v>296</v>
      </c>
      <c r="I65" s="477"/>
      <c r="J65" s="474" t="s">
        <v>270</v>
      </c>
      <c r="K65" s="477" t="s">
        <v>445</v>
      </c>
      <c r="L65" s="477" t="s">
        <v>438</v>
      </c>
      <c r="M65" s="474" t="s">
        <v>267</v>
      </c>
      <c r="N65" s="473">
        <v>1750</v>
      </c>
      <c r="O65" s="474" t="s">
        <v>140</v>
      </c>
      <c r="P65" s="720">
        <v>262500</v>
      </c>
      <c r="Q65" s="719">
        <v>0</v>
      </c>
      <c r="R65" s="719">
        <v>0</v>
      </c>
      <c r="S65" s="530">
        <f t="shared" si="1"/>
        <v>262500</v>
      </c>
      <c r="T65" s="477" t="s">
        <v>272</v>
      </c>
      <c r="U65" s="477" t="s">
        <v>87</v>
      </c>
      <c r="V65" s="477" t="s">
        <v>87</v>
      </c>
      <c r="W65" s="477" t="s">
        <v>87</v>
      </c>
      <c r="X65" s="477" t="s">
        <v>89</v>
      </c>
      <c r="Y65" s="477" t="s">
        <v>90</v>
      </c>
      <c r="Z65" s="477" t="s">
        <v>87</v>
      </c>
      <c r="AA65" s="474" t="s">
        <v>297</v>
      </c>
    </row>
    <row r="66" spans="2:27">
      <c r="B66" s="477" t="s">
        <v>216</v>
      </c>
      <c r="C66" s="536">
        <v>24</v>
      </c>
      <c r="D66" s="477" t="s">
        <v>107</v>
      </c>
      <c r="E66" s="474" t="s">
        <v>300</v>
      </c>
      <c r="F66" s="474" t="s">
        <v>101</v>
      </c>
      <c r="G66" s="474" t="s">
        <v>301</v>
      </c>
      <c r="H66" s="474" t="s">
        <v>296</v>
      </c>
      <c r="I66" s="477"/>
      <c r="J66" s="474" t="s">
        <v>270</v>
      </c>
      <c r="K66" s="477" t="s">
        <v>445</v>
      </c>
      <c r="L66" s="477" t="s">
        <v>438</v>
      </c>
      <c r="M66" s="474" t="s">
        <v>267</v>
      </c>
      <c r="N66" s="472">
        <v>3500</v>
      </c>
      <c r="O66" s="475" t="s">
        <v>144</v>
      </c>
      <c r="P66" s="720">
        <v>525000</v>
      </c>
      <c r="Q66" s="719">
        <v>0</v>
      </c>
      <c r="R66" s="719">
        <v>0</v>
      </c>
      <c r="S66" s="530">
        <f t="shared" si="1"/>
        <v>525000</v>
      </c>
      <c r="T66" s="477" t="s">
        <v>272</v>
      </c>
      <c r="U66" s="477" t="s">
        <v>87</v>
      </c>
      <c r="V66" s="477" t="s">
        <v>87</v>
      </c>
      <c r="W66" s="477" t="s">
        <v>87</v>
      </c>
      <c r="X66" s="477" t="s">
        <v>89</v>
      </c>
      <c r="Y66" s="477" t="s">
        <v>90</v>
      </c>
      <c r="Z66" s="477" t="s">
        <v>273</v>
      </c>
      <c r="AA66" s="474" t="s">
        <v>297</v>
      </c>
    </row>
    <row r="67" spans="2:27">
      <c r="B67" s="477" t="s">
        <v>216</v>
      </c>
      <c r="C67" s="536">
        <v>25</v>
      </c>
      <c r="D67" s="477" t="s">
        <v>107</v>
      </c>
      <c r="E67" s="474" t="s">
        <v>302</v>
      </c>
      <c r="F67" s="474" t="s">
        <v>101</v>
      </c>
      <c r="G67" s="474" t="s">
        <v>303</v>
      </c>
      <c r="H67" s="474" t="s">
        <v>304</v>
      </c>
      <c r="I67" s="477"/>
      <c r="J67" s="474" t="s">
        <v>270</v>
      </c>
      <c r="K67" s="477" t="s">
        <v>445</v>
      </c>
      <c r="L67" s="477" t="s">
        <v>438</v>
      </c>
      <c r="M67" s="474" t="s">
        <v>113</v>
      </c>
      <c r="N67" s="472">
        <v>7070</v>
      </c>
      <c r="O67" s="475" t="s">
        <v>305</v>
      </c>
      <c r="P67" s="720">
        <v>1060500</v>
      </c>
      <c r="Q67" s="720">
        <v>126876</v>
      </c>
      <c r="R67" s="720">
        <v>52861</v>
      </c>
      <c r="S67" s="530">
        <f t="shared" si="1"/>
        <v>1240237</v>
      </c>
      <c r="T67" s="477" t="s">
        <v>272</v>
      </c>
      <c r="U67" s="477" t="s">
        <v>87</v>
      </c>
      <c r="V67" s="477" t="s">
        <v>87</v>
      </c>
      <c r="W67" s="477" t="s">
        <v>87</v>
      </c>
      <c r="X67" s="477" t="s">
        <v>89</v>
      </c>
      <c r="Y67" s="477" t="s">
        <v>90</v>
      </c>
      <c r="Z67" s="477" t="s">
        <v>273</v>
      </c>
      <c r="AA67" s="474" t="s">
        <v>117</v>
      </c>
    </row>
    <row r="68" spans="2:27" hidden="1">
      <c r="B68" s="477" t="s">
        <v>216</v>
      </c>
      <c r="C68" s="477">
        <v>26</v>
      </c>
      <c r="D68" s="477" t="s">
        <v>78</v>
      </c>
      <c r="E68" s="474" t="s">
        <v>306</v>
      </c>
      <c r="F68" s="474" t="s">
        <v>109</v>
      </c>
      <c r="G68" s="474" t="s">
        <v>307</v>
      </c>
      <c r="H68" s="474" t="s">
        <v>308</v>
      </c>
      <c r="I68" s="477"/>
      <c r="J68" s="474" t="s">
        <v>112</v>
      </c>
      <c r="K68" s="477" t="s">
        <v>445</v>
      </c>
      <c r="L68" s="474" t="s">
        <v>750</v>
      </c>
      <c r="M68" s="474" t="s">
        <v>309</v>
      </c>
      <c r="N68" s="472">
        <v>24808</v>
      </c>
      <c r="O68" s="475" t="s">
        <v>310</v>
      </c>
      <c r="P68" s="719">
        <v>8062600</v>
      </c>
      <c r="Q68" s="719">
        <v>524760</v>
      </c>
      <c r="R68" s="720">
        <v>504763</v>
      </c>
      <c r="S68" s="530">
        <f t="shared" si="1"/>
        <v>9092123</v>
      </c>
      <c r="T68" s="474" t="s">
        <v>115</v>
      </c>
      <c r="U68" s="477" t="s">
        <v>87</v>
      </c>
      <c r="V68" s="477" t="s">
        <v>87</v>
      </c>
      <c r="W68" s="477" t="s">
        <v>88</v>
      </c>
      <c r="X68" s="477" t="s">
        <v>89</v>
      </c>
      <c r="Y68" s="477" t="s">
        <v>90</v>
      </c>
      <c r="Z68" s="474" t="s">
        <v>116</v>
      </c>
      <c r="AA68" s="477" t="s">
        <v>99</v>
      </c>
    </row>
    <row r="69" spans="2:27" hidden="1">
      <c r="B69" s="477" t="s">
        <v>216</v>
      </c>
      <c r="C69" s="477">
        <v>27</v>
      </c>
      <c r="D69" s="477" t="s">
        <v>78</v>
      </c>
      <c r="E69" s="474" t="s">
        <v>311</v>
      </c>
      <c r="F69" s="474" t="s">
        <v>101</v>
      </c>
      <c r="G69" s="474" t="s">
        <v>312</v>
      </c>
      <c r="H69" s="474" t="s">
        <v>308</v>
      </c>
      <c r="I69" s="477"/>
      <c r="J69" s="474" t="s">
        <v>112</v>
      </c>
      <c r="K69" s="477" t="s">
        <v>445</v>
      </c>
      <c r="L69" s="474" t="s">
        <v>750</v>
      </c>
      <c r="M69" s="474" t="s">
        <v>133</v>
      </c>
      <c r="N69" s="473">
        <v>3500</v>
      </c>
      <c r="O69" s="474" t="s">
        <v>144</v>
      </c>
      <c r="P69" s="719">
        <v>1050000</v>
      </c>
      <c r="Q69" s="719">
        <v>0</v>
      </c>
      <c r="R69" s="719">
        <v>0</v>
      </c>
      <c r="S69" s="530">
        <f t="shared" si="1"/>
        <v>1050000</v>
      </c>
      <c r="T69" s="474" t="s">
        <v>115</v>
      </c>
      <c r="U69" s="477" t="s">
        <v>87</v>
      </c>
      <c r="V69" s="477" t="s">
        <v>87</v>
      </c>
      <c r="W69" s="477" t="s">
        <v>88</v>
      </c>
      <c r="X69" s="477" t="s">
        <v>89</v>
      </c>
      <c r="Y69" s="477" t="s">
        <v>90</v>
      </c>
      <c r="Z69" s="474" t="s">
        <v>116</v>
      </c>
      <c r="AA69" s="474" t="s">
        <v>99</v>
      </c>
    </row>
    <row r="70" spans="2:27" hidden="1">
      <c r="B70" s="477" t="s">
        <v>216</v>
      </c>
      <c r="C70" s="477">
        <v>28</v>
      </c>
      <c r="D70" s="477" t="s">
        <v>78</v>
      </c>
      <c r="E70" s="474" t="s">
        <v>313</v>
      </c>
      <c r="F70" s="474" t="s">
        <v>101</v>
      </c>
      <c r="G70" s="474" t="s">
        <v>314</v>
      </c>
      <c r="H70" s="474" t="s">
        <v>308</v>
      </c>
      <c r="I70" s="477"/>
      <c r="J70" s="474" t="s">
        <v>270</v>
      </c>
      <c r="K70" s="477" t="s">
        <v>445</v>
      </c>
      <c r="L70" s="474" t="s">
        <v>750</v>
      </c>
      <c r="M70" s="474" t="s">
        <v>267</v>
      </c>
      <c r="N70" s="472">
        <v>3500</v>
      </c>
      <c r="O70" s="475" t="s">
        <v>144</v>
      </c>
      <c r="P70" s="720">
        <v>525000</v>
      </c>
      <c r="Q70" s="719">
        <v>0</v>
      </c>
      <c r="R70" s="719">
        <v>0</v>
      </c>
      <c r="S70" s="530">
        <f t="shared" si="1"/>
        <v>525000</v>
      </c>
      <c r="T70" s="474" t="s">
        <v>272</v>
      </c>
      <c r="U70" s="477" t="s">
        <v>87</v>
      </c>
      <c r="V70" s="477" t="s">
        <v>87</v>
      </c>
      <c r="W70" s="477" t="s">
        <v>88</v>
      </c>
      <c r="X70" s="477" t="s">
        <v>89</v>
      </c>
      <c r="Y70" s="477" t="s">
        <v>90</v>
      </c>
      <c r="Z70" s="477" t="s">
        <v>273</v>
      </c>
      <c r="AA70" s="477" t="s">
        <v>99</v>
      </c>
    </row>
    <row r="71" spans="2:27" hidden="1">
      <c r="B71" s="477" t="s">
        <v>216</v>
      </c>
      <c r="C71" s="477">
        <v>29</v>
      </c>
      <c r="D71" s="477" t="s">
        <v>78</v>
      </c>
      <c r="E71" s="474" t="s">
        <v>315</v>
      </c>
      <c r="F71" s="474" t="s">
        <v>101</v>
      </c>
      <c r="G71" s="529" t="s">
        <v>316</v>
      </c>
      <c r="H71" s="474" t="s">
        <v>317</v>
      </c>
      <c r="I71" s="477"/>
      <c r="J71" s="474" t="s">
        <v>270</v>
      </c>
      <c r="K71" s="477" t="s">
        <v>445</v>
      </c>
      <c r="L71" s="474" t="s">
        <v>750</v>
      </c>
      <c r="M71" s="474" t="s">
        <v>174</v>
      </c>
      <c r="N71" s="472">
        <v>3500</v>
      </c>
      <c r="O71" s="475" t="s">
        <v>144</v>
      </c>
      <c r="P71" s="720">
        <v>393750</v>
      </c>
      <c r="Q71" s="719">
        <v>77211</v>
      </c>
      <c r="R71" s="719">
        <v>0</v>
      </c>
      <c r="S71" s="530">
        <f t="shared" si="1"/>
        <v>470961</v>
      </c>
      <c r="T71" s="474" t="s">
        <v>272</v>
      </c>
      <c r="U71" s="477" t="s">
        <v>87</v>
      </c>
      <c r="V71" s="477" t="s">
        <v>87</v>
      </c>
      <c r="W71" s="477" t="s">
        <v>88</v>
      </c>
      <c r="X71" s="477" t="s">
        <v>89</v>
      </c>
      <c r="Y71" s="477" t="s">
        <v>90</v>
      </c>
      <c r="Z71" s="477" t="s">
        <v>273</v>
      </c>
      <c r="AA71" s="477" t="s">
        <v>318</v>
      </c>
    </row>
    <row r="72" spans="2:27" hidden="1">
      <c r="B72" s="477" t="s">
        <v>216</v>
      </c>
      <c r="C72" s="477">
        <v>30</v>
      </c>
      <c r="D72" s="477" t="s">
        <v>78</v>
      </c>
      <c r="E72" s="474" t="s">
        <v>319</v>
      </c>
      <c r="F72" s="474" t="s">
        <v>101</v>
      </c>
      <c r="G72" s="474" t="s">
        <v>320</v>
      </c>
      <c r="H72" s="474" t="s">
        <v>276</v>
      </c>
      <c r="I72" s="477"/>
      <c r="J72" s="474" t="s">
        <v>270</v>
      </c>
      <c r="K72" s="477" t="s">
        <v>445</v>
      </c>
      <c r="L72" s="474" t="s">
        <v>750</v>
      </c>
      <c r="M72" s="474" t="s">
        <v>321</v>
      </c>
      <c r="N72" s="473">
        <v>1750</v>
      </c>
      <c r="O72" s="474" t="s">
        <v>140</v>
      </c>
      <c r="P72" s="719">
        <v>196875</v>
      </c>
      <c r="Q72" s="719">
        <v>0</v>
      </c>
      <c r="R72" s="719">
        <v>560</v>
      </c>
      <c r="S72" s="530">
        <f t="shared" si="1"/>
        <v>197435</v>
      </c>
      <c r="T72" s="474" t="s">
        <v>272</v>
      </c>
      <c r="U72" s="477" t="s">
        <v>87</v>
      </c>
      <c r="V72" s="477" t="s">
        <v>87</v>
      </c>
      <c r="W72" s="477" t="s">
        <v>88</v>
      </c>
      <c r="X72" s="477" t="s">
        <v>89</v>
      </c>
      <c r="Y72" s="477" t="s">
        <v>90</v>
      </c>
      <c r="Z72" s="477" t="s">
        <v>273</v>
      </c>
      <c r="AA72" s="477" t="s">
        <v>135</v>
      </c>
    </row>
    <row r="73" spans="2:27">
      <c r="B73" s="477" t="s">
        <v>216</v>
      </c>
      <c r="C73" s="536">
        <v>31</v>
      </c>
      <c r="D73" s="477" t="s">
        <v>107</v>
      </c>
      <c r="E73" s="474" t="s">
        <v>322</v>
      </c>
      <c r="F73" s="474" t="s">
        <v>101</v>
      </c>
      <c r="G73" s="474" t="s">
        <v>323</v>
      </c>
      <c r="H73" s="474" t="s">
        <v>324</v>
      </c>
      <c r="I73" s="477"/>
      <c r="J73" s="474" t="s">
        <v>270</v>
      </c>
      <c r="K73" s="477" t="s">
        <v>445</v>
      </c>
      <c r="L73" s="477" t="s">
        <v>438</v>
      </c>
      <c r="M73" s="474" t="s">
        <v>113</v>
      </c>
      <c r="N73" s="472">
        <v>5250</v>
      </c>
      <c r="O73" s="475" t="s">
        <v>264</v>
      </c>
      <c r="P73" s="720">
        <v>787500</v>
      </c>
      <c r="Q73" s="720">
        <v>42971</v>
      </c>
      <c r="R73" s="719">
        <v>406</v>
      </c>
      <c r="S73" s="530">
        <f t="shared" si="1"/>
        <v>830877</v>
      </c>
      <c r="T73" s="474" t="s">
        <v>272</v>
      </c>
      <c r="U73" s="477" t="s">
        <v>87</v>
      </c>
      <c r="V73" s="477" t="s">
        <v>87</v>
      </c>
      <c r="W73" s="477" t="s">
        <v>88</v>
      </c>
      <c r="X73" s="477" t="s">
        <v>89</v>
      </c>
      <c r="Y73" s="477" t="s">
        <v>90</v>
      </c>
      <c r="Z73" s="477" t="s">
        <v>273</v>
      </c>
      <c r="AA73" s="477" t="s">
        <v>117</v>
      </c>
    </row>
    <row r="74" spans="2:27">
      <c r="B74" s="477" t="s">
        <v>216</v>
      </c>
      <c r="C74" s="536">
        <v>32</v>
      </c>
      <c r="D74" s="477" t="s">
        <v>107</v>
      </c>
      <c r="E74" s="474" t="s">
        <v>325</v>
      </c>
      <c r="F74" s="474" t="s">
        <v>101</v>
      </c>
      <c r="G74" s="474" t="s">
        <v>326</v>
      </c>
      <c r="H74" s="474" t="s">
        <v>324</v>
      </c>
      <c r="I74" s="477"/>
      <c r="J74" s="474" t="s">
        <v>270</v>
      </c>
      <c r="K74" s="477" t="s">
        <v>445</v>
      </c>
      <c r="L74" s="477" t="s">
        <v>438</v>
      </c>
      <c r="M74" s="474" t="s">
        <v>267</v>
      </c>
      <c r="N74" s="473">
        <v>1750</v>
      </c>
      <c r="O74" s="474" t="s">
        <v>140</v>
      </c>
      <c r="P74" s="720">
        <v>262500</v>
      </c>
      <c r="Q74" s="719">
        <v>0</v>
      </c>
      <c r="R74" s="719">
        <v>0</v>
      </c>
      <c r="S74" s="530">
        <f t="shared" si="1"/>
        <v>262500</v>
      </c>
      <c r="T74" s="474" t="s">
        <v>272</v>
      </c>
      <c r="U74" s="477" t="s">
        <v>87</v>
      </c>
      <c r="V74" s="477" t="s">
        <v>87</v>
      </c>
      <c r="W74" s="477" t="s">
        <v>88</v>
      </c>
      <c r="X74" s="477" t="s">
        <v>89</v>
      </c>
      <c r="Y74" s="477" t="s">
        <v>90</v>
      </c>
      <c r="Z74" s="477" t="s">
        <v>273</v>
      </c>
      <c r="AA74" s="474" t="s">
        <v>99</v>
      </c>
    </row>
    <row r="75" spans="2:27">
      <c r="B75" s="477" t="s">
        <v>216</v>
      </c>
      <c r="C75" s="536">
        <v>33</v>
      </c>
      <c r="D75" s="477" t="s">
        <v>107</v>
      </c>
      <c r="E75" s="474" t="s">
        <v>327</v>
      </c>
      <c r="F75" s="474" t="s">
        <v>101</v>
      </c>
      <c r="G75" s="474" t="s">
        <v>328</v>
      </c>
      <c r="H75" s="474" t="s">
        <v>324</v>
      </c>
      <c r="I75" s="477"/>
      <c r="J75" s="474" t="s">
        <v>270</v>
      </c>
      <c r="K75" s="477" t="s">
        <v>445</v>
      </c>
      <c r="L75" s="477" t="s">
        <v>438</v>
      </c>
      <c r="M75" s="474" t="s">
        <v>238</v>
      </c>
      <c r="N75" s="472">
        <v>1750</v>
      </c>
      <c r="O75" s="475" t="s">
        <v>140</v>
      </c>
      <c r="P75" s="720">
        <v>262500</v>
      </c>
      <c r="Q75" s="719">
        <v>0</v>
      </c>
      <c r="R75" s="719">
        <v>1582</v>
      </c>
      <c r="S75" s="530">
        <f t="shared" ref="S75:S93" si="2">SUM(P75:R75)</f>
        <v>264082</v>
      </c>
      <c r="T75" s="474" t="s">
        <v>272</v>
      </c>
      <c r="U75" s="477" t="s">
        <v>87</v>
      </c>
      <c r="V75" s="477" t="s">
        <v>87</v>
      </c>
      <c r="W75" s="477" t="s">
        <v>88</v>
      </c>
      <c r="X75" s="477" t="s">
        <v>89</v>
      </c>
      <c r="Y75" s="477" t="s">
        <v>90</v>
      </c>
      <c r="Z75" s="477" t="s">
        <v>273</v>
      </c>
      <c r="AA75" s="477" t="s">
        <v>99</v>
      </c>
    </row>
    <row r="76" spans="2:27">
      <c r="B76" s="477" t="s">
        <v>216</v>
      </c>
      <c r="C76" s="536">
        <v>34</v>
      </c>
      <c r="D76" s="477" t="s">
        <v>107</v>
      </c>
      <c r="E76" s="474" t="s">
        <v>329</v>
      </c>
      <c r="F76" s="474" t="s">
        <v>101</v>
      </c>
      <c r="G76" s="474" t="s">
        <v>330</v>
      </c>
      <c r="H76" s="474" t="s">
        <v>324</v>
      </c>
      <c r="I76" s="477"/>
      <c r="J76" s="474" t="s">
        <v>270</v>
      </c>
      <c r="K76" s="477" t="s">
        <v>445</v>
      </c>
      <c r="L76" s="477" t="s">
        <v>438</v>
      </c>
      <c r="M76" s="474" t="s">
        <v>238</v>
      </c>
      <c r="N76" s="473">
        <v>3500</v>
      </c>
      <c r="O76" s="474" t="s">
        <v>144</v>
      </c>
      <c r="P76" s="719">
        <v>525000</v>
      </c>
      <c r="Q76" s="719">
        <v>0</v>
      </c>
      <c r="R76" s="719">
        <v>1884</v>
      </c>
      <c r="S76" s="530">
        <f t="shared" si="2"/>
        <v>526884</v>
      </c>
      <c r="T76" s="474" t="s">
        <v>272</v>
      </c>
      <c r="U76" s="477" t="s">
        <v>87</v>
      </c>
      <c r="V76" s="477" t="s">
        <v>87</v>
      </c>
      <c r="W76" s="477" t="s">
        <v>88</v>
      </c>
      <c r="X76" s="477" t="s">
        <v>89</v>
      </c>
      <c r="Y76" s="477" t="s">
        <v>90</v>
      </c>
      <c r="Z76" s="477" t="s">
        <v>273</v>
      </c>
      <c r="AA76" s="477" t="s">
        <v>99</v>
      </c>
    </row>
    <row r="77" spans="2:27">
      <c r="B77" s="477" t="s">
        <v>216</v>
      </c>
      <c r="C77" s="536">
        <v>35</v>
      </c>
      <c r="D77" s="477" t="s">
        <v>107</v>
      </c>
      <c r="E77" s="474" t="s">
        <v>331</v>
      </c>
      <c r="F77" s="474" t="s">
        <v>101</v>
      </c>
      <c r="G77" s="474" t="s">
        <v>332</v>
      </c>
      <c r="H77" s="474" t="s">
        <v>324</v>
      </c>
      <c r="I77" s="477"/>
      <c r="J77" s="474" t="s">
        <v>270</v>
      </c>
      <c r="K77" s="477" t="s">
        <v>445</v>
      </c>
      <c r="L77" s="477" t="s">
        <v>438</v>
      </c>
      <c r="M77" s="474" t="s">
        <v>238</v>
      </c>
      <c r="N77" s="472">
        <v>3500</v>
      </c>
      <c r="O77" s="475" t="s">
        <v>144</v>
      </c>
      <c r="P77" s="719">
        <v>525000</v>
      </c>
      <c r="Q77" s="719">
        <v>0</v>
      </c>
      <c r="R77" s="720">
        <v>4606</v>
      </c>
      <c r="S77" s="530">
        <f t="shared" si="2"/>
        <v>529606</v>
      </c>
      <c r="T77" s="474" t="s">
        <v>272</v>
      </c>
      <c r="U77" s="477" t="s">
        <v>87</v>
      </c>
      <c r="V77" s="477" t="s">
        <v>87</v>
      </c>
      <c r="W77" s="477" t="s">
        <v>88</v>
      </c>
      <c r="X77" s="477" t="s">
        <v>89</v>
      </c>
      <c r="Y77" s="477" t="s">
        <v>90</v>
      </c>
      <c r="Z77" s="477" t="s">
        <v>273</v>
      </c>
      <c r="AA77" s="474" t="s">
        <v>99</v>
      </c>
    </row>
    <row r="78" spans="2:27">
      <c r="B78" s="477" t="s">
        <v>216</v>
      </c>
      <c r="C78" s="536">
        <v>36</v>
      </c>
      <c r="D78" s="477" t="s">
        <v>107</v>
      </c>
      <c r="E78" s="474" t="s">
        <v>333</v>
      </c>
      <c r="F78" s="474" t="s">
        <v>101</v>
      </c>
      <c r="G78" s="474" t="s">
        <v>334</v>
      </c>
      <c r="H78" s="474" t="s">
        <v>324</v>
      </c>
      <c r="I78" s="477"/>
      <c r="J78" s="474" t="s">
        <v>270</v>
      </c>
      <c r="K78" s="477" t="s">
        <v>445</v>
      </c>
      <c r="L78" s="477" t="s">
        <v>438</v>
      </c>
      <c r="M78" s="474" t="s">
        <v>238</v>
      </c>
      <c r="N78" s="472">
        <v>3500</v>
      </c>
      <c r="O78" s="475" t="s">
        <v>144</v>
      </c>
      <c r="P78" s="719">
        <v>525000</v>
      </c>
      <c r="Q78" s="719">
        <v>0</v>
      </c>
      <c r="R78" s="719">
        <v>2888</v>
      </c>
      <c r="S78" s="530">
        <f t="shared" si="2"/>
        <v>527888</v>
      </c>
      <c r="T78" s="474" t="s">
        <v>272</v>
      </c>
      <c r="U78" s="477" t="s">
        <v>87</v>
      </c>
      <c r="V78" s="477" t="s">
        <v>87</v>
      </c>
      <c r="W78" s="477" t="s">
        <v>88</v>
      </c>
      <c r="X78" s="477" t="s">
        <v>89</v>
      </c>
      <c r="Y78" s="477" t="s">
        <v>90</v>
      </c>
      <c r="Z78" s="477" t="s">
        <v>273</v>
      </c>
      <c r="AA78" s="477" t="s">
        <v>99</v>
      </c>
    </row>
    <row r="79" spans="2:27">
      <c r="B79" s="477" t="s">
        <v>216</v>
      </c>
      <c r="C79" s="536">
        <v>37</v>
      </c>
      <c r="D79" s="477" t="s">
        <v>107</v>
      </c>
      <c r="E79" s="474" t="s">
        <v>335</v>
      </c>
      <c r="F79" s="474" t="s">
        <v>101</v>
      </c>
      <c r="G79" s="474" t="s">
        <v>336</v>
      </c>
      <c r="H79" s="474" t="s">
        <v>296</v>
      </c>
      <c r="I79" s="477"/>
      <c r="J79" s="474" t="s">
        <v>270</v>
      </c>
      <c r="K79" s="477" t="s">
        <v>445</v>
      </c>
      <c r="L79" s="477" t="s">
        <v>438</v>
      </c>
      <c r="M79" s="474" t="s">
        <v>309</v>
      </c>
      <c r="N79" s="472">
        <v>10570</v>
      </c>
      <c r="O79" s="475" t="s">
        <v>337</v>
      </c>
      <c r="P79" s="720">
        <v>1585500</v>
      </c>
      <c r="Q79" s="719">
        <v>166126</v>
      </c>
      <c r="R79" s="719">
        <v>14145</v>
      </c>
      <c r="S79" s="530">
        <f t="shared" si="2"/>
        <v>1765771</v>
      </c>
      <c r="T79" s="474" t="s">
        <v>272</v>
      </c>
      <c r="U79" s="477" t="s">
        <v>87</v>
      </c>
      <c r="V79" s="477" t="s">
        <v>87</v>
      </c>
      <c r="W79" s="477" t="s">
        <v>88</v>
      </c>
      <c r="X79" s="477" t="s">
        <v>89</v>
      </c>
      <c r="Y79" s="477" t="s">
        <v>90</v>
      </c>
      <c r="Z79" s="477" t="s">
        <v>273</v>
      </c>
      <c r="AA79" s="477" t="s">
        <v>117</v>
      </c>
    </row>
    <row r="80" spans="2:27" ht="14.55" hidden="1" customHeight="1">
      <c r="B80" s="477" t="s">
        <v>216</v>
      </c>
      <c r="C80" s="477">
        <v>38</v>
      </c>
      <c r="D80" s="477" t="s">
        <v>78</v>
      </c>
      <c r="E80" s="474" t="s">
        <v>338</v>
      </c>
      <c r="F80" s="474" t="s">
        <v>109</v>
      </c>
      <c r="G80" s="474" t="s">
        <v>339</v>
      </c>
      <c r="H80" s="474" t="s">
        <v>340</v>
      </c>
      <c r="I80" s="477"/>
      <c r="J80" s="474" t="s">
        <v>270</v>
      </c>
      <c r="K80" s="477" t="s">
        <v>445</v>
      </c>
      <c r="L80" s="474" t="s">
        <v>750</v>
      </c>
      <c r="M80" s="474" t="s">
        <v>309</v>
      </c>
      <c r="N80" s="473">
        <v>14000</v>
      </c>
      <c r="O80" s="474" t="s">
        <v>150</v>
      </c>
      <c r="P80" s="719">
        <v>2100000</v>
      </c>
      <c r="Q80" s="720">
        <v>115294</v>
      </c>
      <c r="R80" s="719">
        <v>28665</v>
      </c>
      <c r="S80" s="530">
        <f t="shared" si="2"/>
        <v>2243959</v>
      </c>
      <c r="T80" s="474" t="s">
        <v>272</v>
      </c>
      <c r="U80" s="477" t="s">
        <v>87</v>
      </c>
      <c r="V80" s="477" t="s">
        <v>87</v>
      </c>
      <c r="W80" s="477" t="s">
        <v>88</v>
      </c>
      <c r="X80" s="477" t="s">
        <v>89</v>
      </c>
      <c r="Y80" s="477" t="s">
        <v>90</v>
      </c>
      <c r="Z80" s="474" t="s">
        <v>273</v>
      </c>
      <c r="AA80" s="477" t="s">
        <v>99</v>
      </c>
    </row>
    <row r="81" spans="2:27">
      <c r="B81" s="477" t="s">
        <v>216</v>
      </c>
      <c r="C81" s="536">
        <v>39</v>
      </c>
      <c r="D81" s="477" t="s">
        <v>107</v>
      </c>
      <c r="E81" s="474" t="s">
        <v>341</v>
      </c>
      <c r="F81" s="474" t="s">
        <v>109</v>
      </c>
      <c r="G81" s="474" t="s">
        <v>342</v>
      </c>
      <c r="H81" s="474" t="s">
        <v>324</v>
      </c>
      <c r="I81" s="477"/>
      <c r="J81" s="474" t="s">
        <v>270</v>
      </c>
      <c r="K81" s="477" t="s">
        <v>445</v>
      </c>
      <c r="L81" s="477" t="s">
        <v>438</v>
      </c>
      <c r="M81" s="474" t="s">
        <v>267</v>
      </c>
      <c r="N81" s="472">
        <v>7000</v>
      </c>
      <c r="O81" s="475" t="s">
        <v>153</v>
      </c>
      <c r="P81" s="719">
        <v>1050000</v>
      </c>
      <c r="Q81" s="719">
        <v>0</v>
      </c>
      <c r="R81" s="719">
        <v>0</v>
      </c>
      <c r="S81" s="530">
        <f t="shared" si="2"/>
        <v>1050000</v>
      </c>
      <c r="T81" s="474" t="s">
        <v>272</v>
      </c>
      <c r="U81" s="477" t="s">
        <v>87</v>
      </c>
      <c r="V81" s="477" t="s">
        <v>87</v>
      </c>
      <c r="W81" s="477" t="s">
        <v>88</v>
      </c>
      <c r="X81" s="477" t="s">
        <v>89</v>
      </c>
      <c r="Y81" s="477" t="s">
        <v>90</v>
      </c>
      <c r="Z81" s="474" t="s">
        <v>273</v>
      </c>
      <c r="AA81" s="474" t="s">
        <v>99</v>
      </c>
    </row>
    <row r="82" spans="2:27">
      <c r="B82" s="477" t="s">
        <v>216</v>
      </c>
      <c r="C82" s="536">
        <v>40</v>
      </c>
      <c r="D82" s="477" t="s">
        <v>107</v>
      </c>
      <c r="E82" s="474" t="s">
        <v>343</v>
      </c>
      <c r="F82" s="474" t="s">
        <v>109</v>
      </c>
      <c r="G82" s="474" t="s">
        <v>344</v>
      </c>
      <c r="H82" s="474" t="s">
        <v>324</v>
      </c>
      <c r="I82" s="477"/>
      <c r="J82" s="474" t="s">
        <v>270</v>
      </c>
      <c r="K82" s="477" t="s">
        <v>445</v>
      </c>
      <c r="L82" s="477" t="s">
        <v>438</v>
      </c>
      <c r="M82" s="474" t="s">
        <v>345</v>
      </c>
      <c r="N82" s="473">
        <v>35000</v>
      </c>
      <c r="O82" s="474" t="s">
        <v>346</v>
      </c>
      <c r="P82" s="719">
        <v>4987500</v>
      </c>
      <c r="Q82" s="719">
        <v>250459</v>
      </c>
      <c r="R82" s="719">
        <v>62291</v>
      </c>
      <c r="S82" s="530">
        <f t="shared" si="2"/>
        <v>5300250</v>
      </c>
      <c r="T82" s="474" t="s">
        <v>272</v>
      </c>
      <c r="U82" s="477" t="s">
        <v>87</v>
      </c>
      <c r="V82" s="477" t="s">
        <v>87</v>
      </c>
      <c r="W82" s="477" t="s">
        <v>88</v>
      </c>
      <c r="X82" s="477" t="s">
        <v>89</v>
      </c>
      <c r="Y82" s="477" t="s">
        <v>90</v>
      </c>
      <c r="Z82" s="474" t="s">
        <v>273</v>
      </c>
      <c r="AA82" s="477" t="s">
        <v>99</v>
      </c>
    </row>
    <row r="83" spans="2:27">
      <c r="B83" s="477" t="s">
        <v>216</v>
      </c>
      <c r="C83" s="536">
        <v>41</v>
      </c>
      <c r="D83" s="477" t="s">
        <v>107</v>
      </c>
      <c r="E83" s="474" t="s">
        <v>347</v>
      </c>
      <c r="F83" s="474" t="s">
        <v>109</v>
      </c>
      <c r="G83" s="474" t="s">
        <v>348</v>
      </c>
      <c r="H83" s="474" t="s">
        <v>296</v>
      </c>
      <c r="I83" s="477"/>
      <c r="J83" s="474" t="s">
        <v>270</v>
      </c>
      <c r="K83" s="477" t="s">
        <v>445</v>
      </c>
      <c r="L83" s="477" t="s">
        <v>438</v>
      </c>
      <c r="M83" s="474" t="s">
        <v>113</v>
      </c>
      <c r="N83" s="472">
        <v>15750</v>
      </c>
      <c r="O83" s="475" t="s">
        <v>349</v>
      </c>
      <c r="P83" s="720">
        <v>2126250</v>
      </c>
      <c r="Q83" s="720">
        <v>190967</v>
      </c>
      <c r="R83" s="719">
        <v>35914</v>
      </c>
      <c r="S83" s="530">
        <f t="shared" si="2"/>
        <v>2353131</v>
      </c>
      <c r="T83" s="474" t="s">
        <v>272</v>
      </c>
      <c r="U83" s="477" t="s">
        <v>87</v>
      </c>
      <c r="V83" s="477" t="s">
        <v>87</v>
      </c>
      <c r="W83" s="477" t="s">
        <v>88</v>
      </c>
      <c r="X83" s="477" t="s">
        <v>89</v>
      </c>
      <c r="Y83" s="477" t="s">
        <v>90</v>
      </c>
      <c r="Z83" s="474" t="s">
        <v>273</v>
      </c>
      <c r="AA83" s="477" t="s">
        <v>117</v>
      </c>
    </row>
    <row r="84" spans="2:27">
      <c r="B84" s="477" t="s">
        <v>216</v>
      </c>
      <c r="C84" s="536">
        <v>42</v>
      </c>
      <c r="D84" s="477" t="s">
        <v>78</v>
      </c>
      <c r="E84" s="534" t="s">
        <v>350</v>
      </c>
      <c r="F84" s="477" t="s">
        <v>109</v>
      </c>
      <c r="G84" s="477" t="s">
        <v>351</v>
      </c>
      <c r="H84" s="477" t="s">
        <v>352</v>
      </c>
      <c r="I84" s="477"/>
      <c r="J84" s="477" t="s">
        <v>112</v>
      </c>
      <c r="K84" s="477" t="s">
        <v>445</v>
      </c>
      <c r="L84" s="477" t="s">
        <v>438</v>
      </c>
      <c r="M84" s="477" t="s">
        <v>235</v>
      </c>
      <c r="N84" s="476">
        <v>15293</v>
      </c>
      <c r="O84" s="477" t="s">
        <v>353</v>
      </c>
      <c r="P84" s="719">
        <v>4970225</v>
      </c>
      <c r="Q84" s="719">
        <v>602568</v>
      </c>
      <c r="R84" s="719">
        <v>85347</v>
      </c>
      <c r="S84" s="530">
        <f t="shared" si="2"/>
        <v>5658140</v>
      </c>
      <c r="T84" s="477" t="s">
        <v>115</v>
      </c>
      <c r="U84" s="477" t="s">
        <v>87</v>
      </c>
      <c r="V84" s="477" t="s">
        <v>87</v>
      </c>
      <c r="W84" s="477" t="s">
        <v>88</v>
      </c>
      <c r="X84" s="477" t="s">
        <v>89</v>
      </c>
      <c r="Y84" s="477" t="s">
        <v>90</v>
      </c>
      <c r="Z84" s="532" t="s">
        <v>116</v>
      </c>
      <c r="AA84" s="477" t="s">
        <v>99</v>
      </c>
    </row>
    <row r="85" spans="2:27" hidden="1">
      <c r="B85" s="477" t="s">
        <v>216</v>
      </c>
      <c r="C85" s="477">
        <v>43</v>
      </c>
      <c r="D85" s="477" t="s">
        <v>78</v>
      </c>
      <c r="E85" s="534" t="s">
        <v>354</v>
      </c>
      <c r="F85" s="477" t="s">
        <v>109</v>
      </c>
      <c r="G85" s="477" t="s">
        <v>355</v>
      </c>
      <c r="H85" s="477" t="s">
        <v>356</v>
      </c>
      <c r="I85" s="477"/>
      <c r="J85" s="477" t="s">
        <v>270</v>
      </c>
      <c r="K85" s="477" t="s">
        <v>445</v>
      </c>
      <c r="L85" s="477" t="s">
        <v>446</v>
      </c>
      <c r="M85" s="477" t="s">
        <v>113</v>
      </c>
      <c r="N85" s="476">
        <v>28000</v>
      </c>
      <c r="O85" s="477" t="s">
        <v>357</v>
      </c>
      <c r="P85" s="719">
        <v>4200000</v>
      </c>
      <c r="Q85" s="719">
        <v>74970</v>
      </c>
      <c r="R85" s="719">
        <v>12400</v>
      </c>
      <c r="S85" s="530">
        <f t="shared" si="2"/>
        <v>4287370</v>
      </c>
      <c r="T85" s="477" t="s">
        <v>272</v>
      </c>
      <c r="U85" s="477" t="s">
        <v>87</v>
      </c>
      <c r="V85" s="477" t="s">
        <v>87</v>
      </c>
      <c r="W85" s="477" t="s">
        <v>88</v>
      </c>
      <c r="X85" s="477" t="s">
        <v>89</v>
      </c>
      <c r="Y85" s="477" t="s">
        <v>90</v>
      </c>
      <c r="Z85" s="532" t="s">
        <v>273</v>
      </c>
      <c r="AA85" s="477" t="s">
        <v>117</v>
      </c>
    </row>
    <row r="86" spans="2:27" hidden="1">
      <c r="B86" s="477" t="s">
        <v>216</v>
      </c>
      <c r="C86" s="477">
        <v>44</v>
      </c>
      <c r="D86" s="477" t="s">
        <v>78</v>
      </c>
      <c r="E86" s="534" t="s">
        <v>358</v>
      </c>
      <c r="F86" s="477" t="s">
        <v>109</v>
      </c>
      <c r="G86" s="477" t="s">
        <v>359</v>
      </c>
      <c r="H86" s="477" t="s">
        <v>356</v>
      </c>
      <c r="I86" s="477"/>
      <c r="J86" s="477" t="s">
        <v>270</v>
      </c>
      <c r="K86" s="477" t="s">
        <v>445</v>
      </c>
      <c r="L86" s="477" t="s">
        <v>446</v>
      </c>
      <c r="M86" s="477" t="s">
        <v>113</v>
      </c>
      <c r="N86" s="476">
        <v>6985</v>
      </c>
      <c r="O86" s="477" t="s">
        <v>360</v>
      </c>
      <c r="P86" s="719">
        <v>1047750</v>
      </c>
      <c r="Q86" s="719">
        <v>153478</v>
      </c>
      <c r="R86" s="719">
        <v>44065</v>
      </c>
      <c r="S86" s="530">
        <f t="shared" si="2"/>
        <v>1245293</v>
      </c>
      <c r="T86" s="477" t="s">
        <v>272</v>
      </c>
      <c r="U86" s="477" t="s">
        <v>87</v>
      </c>
      <c r="V86" s="477" t="s">
        <v>87</v>
      </c>
      <c r="W86" s="477" t="s">
        <v>88</v>
      </c>
      <c r="X86" s="477" t="s">
        <v>89</v>
      </c>
      <c r="Y86" s="477" t="s">
        <v>90</v>
      </c>
      <c r="Z86" s="532" t="s">
        <v>273</v>
      </c>
      <c r="AA86" s="477" t="s">
        <v>117</v>
      </c>
    </row>
    <row r="87" spans="2:27">
      <c r="B87" s="477" t="s">
        <v>216</v>
      </c>
      <c r="C87" s="536">
        <v>45</v>
      </c>
      <c r="D87" s="477" t="s">
        <v>107</v>
      </c>
      <c r="E87" s="532" t="s">
        <v>361</v>
      </c>
      <c r="F87" s="477" t="s">
        <v>109</v>
      </c>
      <c r="G87" s="477" t="s">
        <v>362</v>
      </c>
      <c r="H87" s="477" t="s">
        <v>363</v>
      </c>
      <c r="I87" s="477"/>
      <c r="J87" s="477" t="s">
        <v>270</v>
      </c>
      <c r="K87" s="477" t="s">
        <v>445</v>
      </c>
      <c r="L87" s="477" t="s">
        <v>438</v>
      </c>
      <c r="M87" s="477" t="s">
        <v>364</v>
      </c>
      <c r="N87" s="476">
        <v>51644</v>
      </c>
      <c r="O87" s="477" t="s">
        <v>365</v>
      </c>
      <c r="P87" s="719">
        <v>7746600</v>
      </c>
      <c r="Q87" s="719">
        <v>1017681</v>
      </c>
      <c r="R87" s="719">
        <v>344660</v>
      </c>
      <c r="S87" s="530">
        <f t="shared" si="2"/>
        <v>9108941</v>
      </c>
      <c r="T87" s="477" t="s">
        <v>272</v>
      </c>
      <c r="U87" s="532" t="s">
        <v>87</v>
      </c>
      <c r="V87" s="532" t="s">
        <v>87</v>
      </c>
      <c r="W87" s="532" t="s">
        <v>88</v>
      </c>
      <c r="X87" s="532" t="s">
        <v>190</v>
      </c>
      <c r="Y87" s="532" t="s">
        <v>90</v>
      </c>
      <c r="Z87" s="477" t="s">
        <v>273</v>
      </c>
      <c r="AA87" s="477" t="s">
        <v>87</v>
      </c>
    </row>
    <row r="88" spans="2:27">
      <c r="B88" s="477" t="s">
        <v>216</v>
      </c>
      <c r="C88" s="536">
        <v>46</v>
      </c>
      <c r="D88" s="477" t="s">
        <v>78</v>
      </c>
      <c r="E88" s="534" t="s">
        <v>366</v>
      </c>
      <c r="F88" s="477" t="s">
        <v>367</v>
      </c>
      <c r="G88" s="477" t="s">
        <v>368</v>
      </c>
      <c r="H88" s="477" t="s">
        <v>352</v>
      </c>
      <c r="I88" s="477"/>
      <c r="J88" s="477" t="s">
        <v>112</v>
      </c>
      <c r="K88" s="477" t="s">
        <v>445</v>
      </c>
      <c r="L88" s="477" t="s">
        <v>438</v>
      </c>
      <c r="M88" s="477" t="s">
        <v>105</v>
      </c>
      <c r="N88" s="476">
        <v>18455</v>
      </c>
      <c r="O88" s="477" t="s">
        <v>369</v>
      </c>
      <c r="P88" s="719">
        <v>5997875</v>
      </c>
      <c r="Q88" s="719">
        <v>191399</v>
      </c>
      <c r="R88" s="719">
        <v>25682</v>
      </c>
      <c r="S88" s="530">
        <f t="shared" si="2"/>
        <v>6214956</v>
      </c>
      <c r="T88" s="477" t="s">
        <v>115</v>
      </c>
      <c r="U88" s="477" t="s">
        <v>87</v>
      </c>
      <c r="V88" s="477" t="s">
        <v>87</v>
      </c>
      <c r="W88" s="477" t="s">
        <v>88</v>
      </c>
      <c r="X88" s="477" t="s">
        <v>89</v>
      </c>
      <c r="Y88" s="477" t="s">
        <v>90</v>
      </c>
      <c r="Z88" s="532" t="s">
        <v>116</v>
      </c>
      <c r="AA88" s="477" t="s">
        <v>99</v>
      </c>
    </row>
    <row r="89" spans="2:27">
      <c r="B89" s="477" t="s">
        <v>216</v>
      </c>
      <c r="C89" s="536">
        <v>47</v>
      </c>
      <c r="D89" s="477" t="s">
        <v>78</v>
      </c>
      <c r="E89" s="534" t="s">
        <v>370</v>
      </c>
      <c r="F89" s="477" t="s">
        <v>367</v>
      </c>
      <c r="G89" s="477" t="s">
        <v>371</v>
      </c>
      <c r="H89" s="477" t="s">
        <v>372</v>
      </c>
      <c r="I89" s="477"/>
      <c r="J89" s="477" t="s">
        <v>112</v>
      </c>
      <c r="K89" s="477" t="s">
        <v>445</v>
      </c>
      <c r="L89" s="477" t="s">
        <v>438</v>
      </c>
      <c r="M89" s="477" t="s">
        <v>373</v>
      </c>
      <c r="N89" s="476">
        <v>7150</v>
      </c>
      <c r="O89" s="477" t="s">
        <v>374</v>
      </c>
      <c r="P89" s="719">
        <v>2145000</v>
      </c>
      <c r="Q89" s="719">
        <v>1890000</v>
      </c>
      <c r="R89" s="719">
        <v>0</v>
      </c>
      <c r="S89" s="530">
        <f t="shared" si="2"/>
        <v>4035000</v>
      </c>
      <c r="T89" s="477" t="s">
        <v>115</v>
      </c>
      <c r="U89" s="477" t="s">
        <v>87</v>
      </c>
      <c r="V89" s="477" t="s">
        <v>87</v>
      </c>
      <c r="W89" s="477" t="s">
        <v>88</v>
      </c>
      <c r="X89" s="477" t="s">
        <v>89</v>
      </c>
      <c r="Y89" s="477" t="s">
        <v>90</v>
      </c>
      <c r="Z89" s="532" t="s">
        <v>116</v>
      </c>
      <c r="AA89" s="477" t="s">
        <v>117</v>
      </c>
    </row>
    <row r="90" spans="2:27" hidden="1">
      <c r="B90" s="477" t="s">
        <v>216</v>
      </c>
      <c r="C90" s="477">
        <v>48</v>
      </c>
      <c r="D90" s="477" t="s">
        <v>78</v>
      </c>
      <c r="E90" s="534" t="s">
        <v>375</v>
      </c>
      <c r="F90" s="477" t="s">
        <v>367</v>
      </c>
      <c r="G90" s="477" t="s">
        <v>376</v>
      </c>
      <c r="H90" s="477" t="s">
        <v>356</v>
      </c>
      <c r="I90" s="477"/>
      <c r="J90" s="477" t="s">
        <v>112</v>
      </c>
      <c r="K90" s="477" t="s">
        <v>445</v>
      </c>
      <c r="L90" s="477" t="s">
        <v>446</v>
      </c>
      <c r="M90" s="477" t="s">
        <v>267</v>
      </c>
      <c r="N90" s="476">
        <v>7135</v>
      </c>
      <c r="O90" s="477" t="s">
        <v>377</v>
      </c>
      <c r="P90" s="719">
        <v>2140500</v>
      </c>
      <c r="Q90" s="719">
        <v>0</v>
      </c>
      <c r="R90" s="719">
        <v>0</v>
      </c>
      <c r="S90" s="530">
        <f t="shared" si="2"/>
        <v>2140500</v>
      </c>
      <c r="T90" s="477" t="s">
        <v>115</v>
      </c>
      <c r="U90" s="477" t="s">
        <v>87</v>
      </c>
      <c r="V90" s="477" t="s">
        <v>87</v>
      </c>
      <c r="W90" s="477" t="s">
        <v>88</v>
      </c>
      <c r="X90" s="477" t="s">
        <v>89</v>
      </c>
      <c r="Y90" s="477" t="s">
        <v>90</v>
      </c>
      <c r="Z90" s="532" t="s">
        <v>116</v>
      </c>
      <c r="AA90" s="477" t="s">
        <v>122</v>
      </c>
    </row>
    <row r="91" spans="2:27" hidden="1">
      <c r="B91" s="477" t="s">
        <v>216</v>
      </c>
      <c r="C91" s="477">
        <v>49</v>
      </c>
      <c r="D91" s="477" t="s">
        <v>78</v>
      </c>
      <c r="E91" s="534" t="s">
        <v>378</v>
      </c>
      <c r="F91" s="477" t="s">
        <v>367</v>
      </c>
      <c r="G91" s="477" t="s">
        <v>379</v>
      </c>
      <c r="H91" s="477" t="s">
        <v>380</v>
      </c>
      <c r="I91" s="477"/>
      <c r="J91" s="477" t="s">
        <v>270</v>
      </c>
      <c r="K91" s="477" t="s">
        <v>445</v>
      </c>
      <c r="L91" s="477" t="s">
        <v>446</v>
      </c>
      <c r="M91" s="477" t="s">
        <v>381</v>
      </c>
      <c r="N91" s="476">
        <v>7135</v>
      </c>
      <c r="O91" s="477" t="s">
        <v>377</v>
      </c>
      <c r="P91" s="719">
        <v>1070250</v>
      </c>
      <c r="Q91" s="719">
        <v>49395</v>
      </c>
      <c r="R91" s="719">
        <v>19155</v>
      </c>
      <c r="S91" s="530">
        <f t="shared" si="2"/>
        <v>1138800</v>
      </c>
      <c r="T91" s="477" t="s">
        <v>272</v>
      </c>
      <c r="U91" s="477" t="s">
        <v>87</v>
      </c>
      <c r="V91" s="477" t="s">
        <v>87</v>
      </c>
      <c r="W91" s="477" t="s">
        <v>88</v>
      </c>
      <c r="X91" s="477" t="s">
        <v>89</v>
      </c>
      <c r="Y91" s="477" t="s">
        <v>90</v>
      </c>
      <c r="Z91" s="532" t="s">
        <v>273</v>
      </c>
      <c r="AA91" s="477" t="s">
        <v>99</v>
      </c>
    </row>
    <row r="92" spans="2:27" hidden="1">
      <c r="B92" s="477" t="s">
        <v>216</v>
      </c>
      <c r="C92" s="477">
        <v>50</v>
      </c>
      <c r="D92" s="477" t="s">
        <v>78</v>
      </c>
      <c r="E92" s="534" t="s">
        <v>382</v>
      </c>
      <c r="F92" s="477" t="s">
        <v>367</v>
      </c>
      <c r="G92" s="477" t="s">
        <v>383</v>
      </c>
      <c r="H92" s="477" t="s">
        <v>384</v>
      </c>
      <c r="I92" s="477"/>
      <c r="J92" s="477" t="s">
        <v>270</v>
      </c>
      <c r="K92" s="477" t="s">
        <v>445</v>
      </c>
      <c r="L92" s="477" t="s">
        <v>446</v>
      </c>
      <c r="M92" s="477" t="s">
        <v>385</v>
      </c>
      <c r="N92" s="476">
        <v>7135</v>
      </c>
      <c r="O92" s="477" t="s">
        <v>377</v>
      </c>
      <c r="P92" s="719">
        <v>1070250</v>
      </c>
      <c r="Q92" s="719">
        <v>127454</v>
      </c>
      <c r="R92" s="719">
        <v>47095</v>
      </c>
      <c r="S92" s="530">
        <f t="shared" si="2"/>
        <v>1244799</v>
      </c>
      <c r="T92" s="477" t="s">
        <v>272</v>
      </c>
      <c r="U92" s="477" t="s">
        <v>87</v>
      </c>
      <c r="V92" s="477" t="s">
        <v>87</v>
      </c>
      <c r="W92" s="477" t="s">
        <v>88</v>
      </c>
      <c r="X92" s="477" t="s">
        <v>89</v>
      </c>
      <c r="Y92" s="477" t="s">
        <v>90</v>
      </c>
      <c r="Z92" s="532" t="s">
        <v>273</v>
      </c>
      <c r="AA92" s="477" t="s">
        <v>99</v>
      </c>
    </row>
    <row r="93" spans="2:27" hidden="1">
      <c r="B93" s="477" t="s">
        <v>216</v>
      </c>
      <c r="C93" s="477">
        <v>51</v>
      </c>
      <c r="D93" s="477" t="s">
        <v>78</v>
      </c>
      <c r="E93" s="534" t="s">
        <v>386</v>
      </c>
      <c r="F93" s="477" t="s">
        <v>367</v>
      </c>
      <c r="G93" s="477" t="s">
        <v>387</v>
      </c>
      <c r="H93" s="477" t="s">
        <v>356</v>
      </c>
      <c r="I93" s="477"/>
      <c r="J93" s="477" t="s">
        <v>270</v>
      </c>
      <c r="K93" s="477" t="s">
        <v>445</v>
      </c>
      <c r="L93" s="477" t="s">
        <v>446</v>
      </c>
      <c r="M93" s="477" t="s">
        <v>267</v>
      </c>
      <c r="N93" s="476">
        <v>14270</v>
      </c>
      <c r="O93" s="477" t="s">
        <v>388</v>
      </c>
      <c r="P93" s="719">
        <v>2140500</v>
      </c>
      <c r="Q93" s="719">
        <v>0</v>
      </c>
      <c r="R93" s="719">
        <v>0</v>
      </c>
      <c r="S93" s="530">
        <f t="shared" si="2"/>
        <v>2140500</v>
      </c>
      <c r="T93" s="477" t="s">
        <v>272</v>
      </c>
      <c r="U93" s="477" t="s">
        <v>87</v>
      </c>
      <c r="V93" s="477" t="s">
        <v>87</v>
      </c>
      <c r="W93" s="477" t="s">
        <v>88</v>
      </c>
      <c r="X93" s="477" t="s">
        <v>89</v>
      </c>
      <c r="Y93" s="477" t="s">
        <v>90</v>
      </c>
      <c r="Z93" s="532" t="s">
        <v>273</v>
      </c>
      <c r="AA93" s="477" t="s">
        <v>99</v>
      </c>
    </row>
    <row r="94" spans="2:27" s="479" customFormat="1" ht="13.8" hidden="1" thickBot="1">
      <c r="B94" s="477"/>
      <c r="C94" s="477"/>
      <c r="D94" s="477"/>
      <c r="E94" s="477"/>
      <c r="F94" s="477"/>
      <c r="G94" s="477"/>
      <c r="H94" s="477"/>
      <c r="I94" s="477"/>
      <c r="J94" s="477"/>
      <c r="K94" s="477"/>
      <c r="L94" s="477"/>
      <c r="M94" s="477"/>
      <c r="N94" s="476"/>
      <c r="O94" s="476"/>
      <c r="P94" s="473"/>
      <c r="Q94" s="473"/>
      <c r="R94" s="473"/>
      <c r="S94" s="523"/>
      <c r="T94" s="477"/>
      <c r="U94" s="477"/>
      <c r="V94" s="477"/>
      <c r="W94" s="477"/>
      <c r="X94" s="477"/>
      <c r="Y94" s="477"/>
      <c r="Z94" s="477"/>
      <c r="AA94" s="477"/>
    </row>
    <row r="96" spans="2:27" s="480" customFormat="1">
      <c r="C96" s="480" t="s">
        <v>20</v>
      </c>
      <c r="N96" s="481">
        <f>SUMIF($K:$K,"Phase I",N:N)</f>
        <v>287620.40000000002</v>
      </c>
      <c r="P96" s="723">
        <f>SUMIF($K:$K,"Phase I",P:P)</f>
        <v>40912070</v>
      </c>
      <c r="Q96" s="723">
        <f>SUMIF($K:$K,"Phase I",Q:Q)</f>
        <v>2750222</v>
      </c>
      <c r="R96" s="723">
        <f>SUMIF($K:$K,"Phase I",R:R)</f>
        <v>967511</v>
      </c>
      <c r="S96" s="481">
        <f>SUMIF($K:$K,"Phase I",S:S)</f>
        <v>44629803</v>
      </c>
    </row>
    <row r="97" spans="3:19" s="478" customFormat="1">
      <c r="C97" s="478" t="s">
        <v>445</v>
      </c>
      <c r="N97" s="482">
        <f>SUMIF($K:$K,"Phase II",N:N)</f>
        <v>451919</v>
      </c>
      <c r="P97" s="724">
        <f>SUMIF($K:$K,"Phase II",P:P)</f>
        <v>96176322</v>
      </c>
      <c r="Q97" s="724">
        <f>SUMIF($K:$K,"Phase II",Q:Q)</f>
        <v>6472955</v>
      </c>
      <c r="R97" s="724">
        <f>SUMIF($K:$K,"Phase II",R:R)</f>
        <v>1398740</v>
      </c>
      <c r="S97" s="482">
        <f>SUMIF($K:$K,"Phase II",S:S)</f>
        <v>104048017</v>
      </c>
    </row>
  </sheetData>
  <autoFilter ref="B10:AA94" xr:uid="{46E209FF-6D4C-4FD4-95B1-AEF2F2350DFC}">
    <filterColumn colId="10">
      <filters>
        <filter val="Own"/>
      </filters>
    </filterColumn>
  </autoFilter>
  <pageMargins left="0.7" right="0.7" top="0.75" bottom="0.75" header="0.3" footer="0.3"/>
  <pageSetup paperSize="3" scale="57" fitToHeight="0" orientation="landscape" r:id="rId1"/>
  <headerFooter>
    <oddHeader xml:space="preserve">&amp;L2019 ULI Hines Student Competition&amp;RTeam &amp;A 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D0D48330F6CE4FB6B3AE62FA39CE46" ma:contentTypeVersion="10" ma:contentTypeDescription="Create a new document." ma:contentTypeScope="" ma:versionID="7821a038d1ff3198ddc129765ad472c8">
  <xsd:schema xmlns:xsd="http://www.w3.org/2001/XMLSchema" xmlns:xs="http://www.w3.org/2001/XMLSchema" xmlns:p="http://schemas.microsoft.com/office/2006/metadata/properties" xmlns:ns2="07832773-9414-42b9-95c3-36a558d8f74c" targetNamespace="http://schemas.microsoft.com/office/2006/metadata/properties" ma:root="true" ma:fieldsID="750cbc17267d996503ac6293edd952c1" ns2:_="">
    <xsd:import namespace="07832773-9414-42b9-95c3-36a558d8f7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832773-9414-42b9-95c3-36a558d8f7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0EF2748-2BC3-4869-B4F3-D0444C617CDA}"/>
</file>

<file path=customXml/itemProps2.xml><?xml version="1.0" encoding="utf-8"?>
<ds:datastoreItem xmlns:ds="http://schemas.openxmlformats.org/officeDocument/2006/customXml" ds:itemID="{ACF37BB3-A8B7-413D-9227-878C12108381}"/>
</file>

<file path=customXml/itemProps3.xml><?xml version="1.0" encoding="utf-8"?>
<ds:datastoreItem xmlns:ds="http://schemas.openxmlformats.org/officeDocument/2006/customXml" ds:itemID="{9866A772-A54C-484C-B711-EF54262C8D6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21</vt:i4>
      </vt:variant>
    </vt:vector>
  </HeadingPairs>
  <TitlesOfParts>
    <vt:vector size="44" baseType="lpstr">
      <vt:lpstr>Official Summary Board</vt:lpstr>
      <vt:lpstr>Development Summary</vt:lpstr>
      <vt:lpstr>Building Source Data v02</vt:lpstr>
      <vt:lpstr>Building Summary</vt:lpstr>
      <vt:lpstr>Building Source Data</vt:lpstr>
      <vt:lpstr>Infrastructure Budget</vt:lpstr>
      <vt:lpstr>Area Matrix</vt:lpstr>
      <vt:lpstr>Taxes</vt:lpstr>
      <vt:lpstr>Parcels</vt:lpstr>
      <vt:lpstr>Phase I - Summary</vt:lpstr>
      <vt:lpstr>Phase I - Pro Forma</vt:lpstr>
      <vt:lpstr>Phase I - CF MF Market Rental</vt:lpstr>
      <vt:lpstr>Phase I - CF Affordable Rental</vt:lpstr>
      <vt:lpstr>Phase I - CF Commercial</vt:lpstr>
      <vt:lpstr>Phase I - CF Hotel</vt:lpstr>
      <vt:lpstr>Phase I - CF Retail</vt:lpstr>
      <vt:lpstr>Phase II - Summary</vt:lpstr>
      <vt:lpstr>Phase II - Pro Forma</vt:lpstr>
      <vt:lpstr>Phase II - CF MF Market Rental</vt:lpstr>
      <vt:lpstr>Phase II - CF Affordable Rental</vt:lpstr>
      <vt:lpstr>Phase II - CF Commercial</vt:lpstr>
      <vt:lpstr>Phase II - CF Hotel</vt:lpstr>
      <vt:lpstr>Phase II - CF Retail</vt:lpstr>
      <vt:lpstr>'Area Matrix'!Print_Area</vt:lpstr>
      <vt:lpstr>'Building Summary'!Print_Area</vt:lpstr>
      <vt:lpstr>'Development Summary'!Print_Area</vt:lpstr>
      <vt:lpstr>'Infrastructure Budget'!Print_Area</vt:lpstr>
      <vt:lpstr>'Official Summary Board'!Print_Area</vt:lpstr>
      <vt:lpstr>Parcels!Print_Area</vt:lpstr>
      <vt:lpstr>'Phase I - CF Affordable Rental'!Print_Area</vt:lpstr>
      <vt:lpstr>'Phase I - CF Commercial'!Print_Area</vt:lpstr>
      <vt:lpstr>'Phase I - CF Hotel'!Print_Area</vt:lpstr>
      <vt:lpstr>'Phase I - CF MF Market Rental'!Print_Area</vt:lpstr>
      <vt:lpstr>'Phase I - CF Retail'!Print_Area</vt:lpstr>
      <vt:lpstr>'Phase I - Pro Forma'!Print_Area</vt:lpstr>
      <vt:lpstr>'Phase I - Summary'!Print_Area</vt:lpstr>
      <vt:lpstr>'Phase II - CF Affordable Rental'!Print_Area</vt:lpstr>
      <vt:lpstr>'Phase II - CF Commercial'!Print_Area</vt:lpstr>
      <vt:lpstr>'Phase II - CF Hotel'!Print_Area</vt:lpstr>
      <vt:lpstr>'Phase II - CF MF Market Rental'!Print_Area</vt:lpstr>
      <vt:lpstr>'Phase II - CF Retail'!Print_Area</vt:lpstr>
      <vt:lpstr>'Phase II - Pro Forma'!Print_Area</vt:lpstr>
      <vt:lpstr>'Phase II - Summary'!Print_Area</vt:lpstr>
      <vt:lpstr>Taxes!Print_Area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Annie Finkenbinder-Best</dc:creator>
  <cp:lastModifiedBy>Jonathan Hong</cp:lastModifiedBy>
  <cp:lastPrinted>2020-04-04T20:46:08Z</cp:lastPrinted>
  <dcterms:created xsi:type="dcterms:W3CDTF">2007-12-12T14:49:40Z</dcterms:created>
  <dcterms:modified xsi:type="dcterms:W3CDTF">2020-04-04T20:46:14Z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0x01010007D0D48330F6CE4FB6B3AE62FA39CE46</vt:lpwstr>
  </property>
</Properties>
</file>