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9254\OneDrive\Columbia MSRED\ULI Hines Competition - Miami\"/>
    </mc:Choice>
  </mc:AlternateContent>
  <xr:revisionPtr revIDLastSave="212" documentId="8_{460267F8-7059-4590-965D-2035B78C4491}" xr6:coauthVersionLast="45" xr6:coauthVersionMax="45" xr10:uidLastSave="{D4D1413E-D2DE-4CAD-B873-FD44A247C384}"/>
  <bookViews>
    <workbookView xWindow="-108" yWindow="-108" windowWidth="23256" windowHeight="12576" tabRatio="904" firstSheet="1" activeTab="1" xr2:uid="{00000000-000D-0000-FFFF-FFFF00000000}"/>
  </bookViews>
  <sheets>
    <sheet name="Building Source Data" sheetId="58" state="hidden" r:id="rId1"/>
    <sheet name="Official Summary Board" sheetId="28" r:id="rId2"/>
    <sheet name="Development Summary" sheetId="56" r:id="rId3"/>
    <sheet name="Building Summary" sheetId="57" r:id="rId4"/>
    <sheet name="Infrastructure Budget" sheetId="53" r:id="rId5"/>
    <sheet name="Area Matrix" sheetId="37" r:id="rId6"/>
    <sheet name="Taxes" sheetId="51" r:id="rId7"/>
    <sheet name="Parcels" sheetId="31" state="hidden" r:id="rId8"/>
    <sheet name="Phase I - Summary" sheetId="29" r:id="rId9"/>
    <sheet name="Phase I - Pro Forma" sheetId="35" r:id="rId10"/>
    <sheet name="Phase I - CF MF Market Rental" sheetId="39" r:id="rId11"/>
    <sheet name="Phase I - CF Affordable Rental" sheetId="49" r:id="rId12"/>
    <sheet name="Phase I - CF Commercial" sheetId="40" r:id="rId13"/>
    <sheet name="Phase I - CF Hotel" sheetId="41" state="hidden" r:id="rId14"/>
    <sheet name="Phase I - CF Retail" sheetId="42" r:id="rId15"/>
    <sheet name="Phase II - Summary" sheetId="43" r:id="rId16"/>
    <sheet name="Phase II - Pro Forma" sheetId="44" r:id="rId17"/>
    <sheet name="Phase II - CF MF Market Rental" sheetId="45" r:id="rId18"/>
    <sheet name="Phase II - CF Affordable Rental" sheetId="50" r:id="rId19"/>
    <sheet name="Phase II - CF Commercial" sheetId="46" r:id="rId20"/>
    <sheet name="Phase II - CF Hotel" sheetId="47" r:id="rId21"/>
    <sheet name="Phase II - CF Retail" sheetId="48" r:id="rId22"/>
  </sheets>
  <externalReferences>
    <externalReference r:id="rId23"/>
  </externalReferences>
  <definedNames>
    <definedName name="_xlnm._FilterDatabase" localSheetId="7" hidden="1">Parcels!$B$10:$AA$94</definedName>
    <definedName name="_xlnm.Print_Area" localSheetId="5">'Area Matrix'!$B$2:$T$62</definedName>
    <definedName name="_xlnm.Print_Area" localSheetId="3">'Building Summary'!$B$2:$Q$32</definedName>
    <definedName name="_xlnm.Print_Area" localSheetId="2">'Development Summary'!$B$2:$T$53</definedName>
    <definedName name="_xlnm.Print_Area" localSheetId="4">'Infrastructure Budget'!$B$2:$I$35</definedName>
    <definedName name="_xlnm.Print_Area" localSheetId="1">'Official Summary Board'!$B$2:$P$102</definedName>
    <definedName name="_xlnm.Print_Area" localSheetId="7">Parcels!$B$2:$AA$97</definedName>
    <definedName name="_xlnm.Print_Area" localSheetId="11">'Phase I - CF Affordable Rental'!$B$2:$R$87</definedName>
    <definedName name="_xlnm.Print_Area" localSheetId="12">'Phase I - CF Commercial'!$B$2:$R$88</definedName>
    <definedName name="_xlnm.Print_Area" localSheetId="13">'Phase I - CF Hotel'!$B$2:$R$93</definedName>
    <definedName name="_xlnm.Print_Area" localSheetId="10">'Phase I - CF MF Market Rental'!$B$2:$R$88</definedName>
    <definedName name="_xlnm.Print_Area" localSheetId="14">'Phase I - CF Retail'!$B$2:$R$90</definedName>
    <definedName name="_xlnm.Print_Area" localSheetId="9">'Phase I - Pro Forma'!$B$2:$Q$78</definedName>
    <definedName name="_xlnm.Print_Area" localSheetId="8">'Phase I - Summary'!$B$2:$I$50</definedName>
    <definedName name="_xlnm.Print_Area" localSheetId="18">'Phase II - CF Affordable Rental'!$B$2:$R$87</definedName>
    <definedName name="_xlnm.Print_Area" localSheetId="19">'Phase II - CF Commercial'!$B$2:$R$89</definedName>
    <definedName name="_xlnm.Print_Area" localSheetId="20">'Phase II - CF Hotel'!$B$2:$R$89</definedName>
    <definedName name="_xlnm.Print_Area" localSheetId="17">'Phase II - CF MF Market Rental'!$B$2:$R$88</definedName>
    <definedName name="_xlnm.Print_Area" localSheetId="21">'Phase II - CF Retail'!$B$2:$R$90</definedName>
    <definedName name="_xlnm.Print_Area" localSheetId="16">'Phase II - Pro Forma'!$B$2:$Q$77</definedName>
    <definedName name="_xlnm.Print_Area" localSheetId="15">'Phase II - Summary'!$B$2:$I$49</definedName>
    <definedName name="_xlnm.Print_Area" localSheetId="6">Taxes!$B$2:$AD$57</definedName>
  </definedName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4" i="37" l="1"/>
  <c r="Z30" i="37"/>
  <c r="Z31" i="37"/>
  <c r="Z32" i="37"/>
  <c r="Z33" i="37"/>
  <c r="Z29" i="37"/>
  <c r="X23" i="37"/>
  <c r="N19" i="57" l="1"/>
  <c r="O19" i="57"/>
  <c r="P19" i="57"/>
  <c r="Q19" i="57"/>
  <c r="M19" i="57"/>
  <c r="E19" i="57"/>
  <c r="F19" i="57"/>
  <c r="G19" i="57"/>
  <c r="H19" i="57"/>
  <c r="D19" i="57"/>
  <c r="J33" i="58"/>
  <c r="H33" i="58"/>
  <c r="N32" i="58"/>
  <c r="S29" i="58"/>
  <c r="R29" i="58"/>
  <c r="Q29" i="58"/>
  <c r="P29" i="58"/>
  <c r="O29" i="58"/>
  <c r="N29" i="58"/>
  <c r="L29" i="58"/>
  <c r="K29" i="58"/>
  <c r="J29" i="58"/>
  <c r="I29" i="58"/>
  <c r="H29" i="58"/>
  <c r="G29" i="58"/>
  <c r="F29" i="58"/>
  <c r="E29" i="58"/>
  <c r="E32" i="58" s="1"/>
  <c r="E34" i="58" s="1"/>
  <c r="D4" i="58"/>
  <c r="D5" i="58" s="1"/>
  <c r="D6" i="58" s="1"/>
  <c r="D7" i="58" s="1"/>
  <c r="D8" i="58" s="1"/>
  <c r="D9" i="58" s="1"/>
  <c r="D10" i="58" s="1"/>
  <c r="D11" i="58" s="1"/>
  <c r="D12" i="58" s="1"/>
  <c r="D13" i="58" s="1"/>
  <c r="D14" i="58" s="1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D25" i="58" s="1"/>
  <c r="D26" i="58" s="1"/>
  <c r="D27" i="58" s="1"/>
  <c r="D28" i="58" s="1"/>
  <c r="O31" i="57" l="1"/>
  <c r="M31" i="57"/>
  <c r="I20" i="57"/>
  <c r="G33" i="56" l="1"/>
  <c r="G34" i="56"/>
  <c r="J33" i="56"/>
  <c r="J34" i="56"/>
  <c r="J32" i="56"/>
  <c r="T53" i="56"/>
  <c r="T48" i="56"/>
  <c r="T49" i="56"/>
  <c r="T50" i="56"/>
  <c r="T51" i="56"/>
  <c r="T52" i="56"/>
  <c r="T47" i="56"/>
  <c r="Q48" i="56"/>
  <c r="Q49" i="56"/>
  <c r="Q50" i="56"/>
  <c r="Q51" i="56"/>
  <c r="Q52" i="56"/>
  <c r="Q47" i="56"/>
  <c r="T44" i="56"/>
  <c r="T39" i="56"/>
  <c r="T40" i="56"/>
  <c r="T41" i="56"/>
  <c r="T42" i="56"/>
  <c r="T43" i="56"/>
  <c r="T38" i="56"/>
  <c r="Q39" i="56"/>
  <c r="Q40" i="56"/>
  <c r="Q41" i="56"/>
  <c r="Q42" i="56"/>
  <c r="Q43" i="56"/>
  <c r="Q38" i="56"/>
  <c r="T14" i="56"/>
  <c r="T15" i="56"/>
  <c r="T13" i="56"/>
  <c r="T30" i="56"/>
  <c r="T31" i="56"/>
  <c r="T32" i="56"/>
  <c r="T33" i="56"/>
  <c r="T34" i="56"/>
  <c r="T35" i="56"/>
  <c r="T29" i="56"/>
  <c r="Q30" i="56"/>
  <c r="Q31" i="56"/>
  <c r="Q32" i="56"/>
  <c r="Q33" i="56"/>
  <c r="Q34" i="56"/>
  <c r="Q35" i="56"/>
  <c r="Q29" i="56"/>
  <c r="T26" i="56"/>
  <c r="T25" i="56"/>
  <c r="T24" i="56"/>
  <c r="T23" i="56"/>
  <c r="T18" i="56"/>
  <c r="Q18" i="56"/>
  <c r="T20" i="56"/>
  <c r="T21" i="56"/>
  <c r="T22" i="56"/>
  <c r="T19" i="56"/>
  <c r="Q20" i="56"/>
  <c r="Q21" i="56"/>
  <c r="Q22" i="56"/>
  <c r="Q19" i="56"/>
  <c r="J29" i="56"/>
  <c r="J28" i="56"/>
  <c r="D27" i="43"/>
  <c r="M50" i="56" l="1"/>
  <c r="I46" i="29" l="1"/>
  <c r="E32" i="56"/>
  <c r="E30" i="56"/>
  <c r="E29" i="56"/>
  <c r="E25" i="56"/>
  <c r="E27" i="56" s="1"/>
  <c r="G27" i="29"/>
  <c r="D32" i="57" l="1"/>
  <c r="G32" i="57"/>
  <c r="H51" i="56"/>
  <c r="C51" i="56"/>
  <c r="E31" i="56"/>
  <c r="E33" i="56" s="1"/>
  <c r="E35" i="56" s="1"/>
  <c r="D26" i="29" l="1"/>
  <c r="M43" i="28" l="1"/>
  <c r="N43" i="28"/>
  <c r="O43" i="28"/>
  <c r="P43" i="28"/>
  <c r="E37" i="53"/>
  <c r="D37" i="53"/>
  <c r="E60" i="28"/>
  <c r="G26" i="43" l="1"/>
  <c r="G91" i="28"/>
  <c r="F91" i="28"/>
  <c r="I29" i="53"/>
  <c r="G29" i="53"/>
  <c r="F29" i="53"/>
  <c r="I32" i="53"/>
  <c r="G32" i="53"/>
  <c r="F32" i="53"/>
  <c r="E27" i="53"/>
  <c r="G27" i="53" s="1"/>
  <c r="D27" i="53"/>
  <c r="E25" i="53"/>
  <c r="G25" i="53" s="1"/>
  <c r="D25" i="53"/>
  <c r="F25" i="53" s="1"/>
  <c r="G23" i="53"/>
  <c r="F23" i="53"/>
  <c r="G21" i="53"/>
  <c r="K39" i="28" s="1"/>
  <c r="F21" i="53"/>
  <c r="H39" i="28" s="1"/>
  <c r="G19" i="53"/>
  <c r="H19" i="53"/>
  <c r="F19" i="53"/>
  <c r="I19" i="53" s="1"/>
  <c r="H14" i="53"/>
  <c r="H15" i="53"/>
  <c r="H16" i="53"/>
  <c r="H17" i="53"/>
  <c r="H18" i="53"/>
  <c r="F14" i="53"/>
  <c r="G14" i="53"/>
  <c r="F15" i="53"/>
  <c r="G15" i="53"/>
  <c r="F16" i="53"/>
  <c r="G16" i="53"/>
  <c r="F17" i="53"/>
  <c r="G17" i="53"/>
  <c r="F18" i="53"/>
  <c r="G18" i="53"/>
  <c r="G13" i="53"/>
  <c r="H23" i="53"/>
  <c r="H21" i="53"/>
  <c r="H13" i="53"/>
  <c r="G37" i="53" l="1"/>
  <c r="L42" i="28"/>
  <c r="J42" i="28"/>
  <c r="K42" i="28"/>
  <c r="G39" i="28"/>
  <c r="I39" i="28"/>
  <c r="I23" i="53"/>
  <c r="G96" i="28" s="1"/>
  <c r="H40" i="28"/>
  <c r="G40" i="28"/>
  <c r="I40" i="28"/>
  <c r="J39" i="28"/>
  <c r="H37" i="53"/>
  <c r="K40" i="28"/>
  <c r="J40" i="28"/>
  <c r="L40" i="28"/>
  <c r="L39" i="28"/>
  <c r="I21" i="53"/>
  <c r="G94" i="28" s="1"/>
  <c r="H27" i="53"/>
  <c r="F27" i="53"/>
  <c r="I25" i="53"/>
  <c r="G98" i="28" s="1"/>
  <c r="H25" i="53"/>
  <c r="I14" i="53"/>
  <c r="I16" i="53"/>
  <c r="I18" i="53"/>
  <c r="I15" i="53"/>
  <c r="I17" i="53"/>
  <c r="F13" i="53"/>
  <c r="I13" i="53" l="1"/>
  <c r="F37" i="53"/>
  <c r="I27" i="53"/>
  <c r="E95" i="28" s="1"/>
  <c r="I42" i="28"/>
  <c r="G42" i="28"/>
  <c r="H42" i="28"/>
  <c r="J38" i="28"/>
  <c r="K38" i="28"/>
  <c r="L38" i="28"/>
  <c r="C49" i="46"/>
  <c r="H38" i="28" l="1"/>
  <c r="I38" i="28"/>
  <c r="G38" i="28"/>
  <c r="I37" i="53"/>
  <c r="E97" i="28"/>
  <c r="C51" i="48"/>
  <c r="N20" i="48"/>
  <c r="N20" i="46"/>
  <c r="M21" i="50"/>
  <c r="M22" i="45"/>
  <c r="C51" i="42"/>
  <c r="N20" i="42"/>
  <c r="N20" i="40"/>
  <c r="C49" i="40"/>
  <c r="M21" i="49"/>
  <c r="M22" i="39" l="1"/>
  <c r="X18" i="51" l="1"/>
  <c r="H18" i="51"/>
  <c r="X12" i="51"/>
  <c r="X14" i="51" s="1"/>
  <c r="H12" i="51"/>
  <c r="H14" i="51" s="1"/>
  <c r="Z53" i="51"/>
  <c r="X53" i="51"/>
  <c r="V53" i="51"/>
  <c r="Z52" i="51"/>
  <c r="X52" i="51"/>
  <c r="V52" i="51"/>
  <c r="Z51" i="51"/>
  <c r="X51" i="51"/>
  <c r="V51" i="51"/>
  <c r="Z50" i="51"/>
  <c r="X50" i="51"/>
  <c r="V50" i="51"/>
  <c r="Z49" i="51"/>
  <c r="X49" i="51"/>
  <c r="V49" i="51"/>
  <c r="Z48" i="51"/>
  <c r="X48" i="51"/>
  <c r="V48" i="51"/>
  <c r="Z47" i="51"/>
  <c r="X47" i="51"/>
  <c r="V47" i="51"/>
  <c r="Z46" i="51"/>
  <c r="X46" i="51"/>
  <c r="V46" i="51"/>
  <c r="Z45" i="51"/>
  <c r="X45" i="51"/>
  <c r="V45" i="51"/>
  <c r="Z44" i="51"/>
  <c r="X44" i="51"/>
  <c r="V44" i="51"/>
  <c r="Z43" i="51"/>
  <c r="X43" i="51"/>
  <c r="V43" i="51"/>
  <c r="Z42" i="51"/>
  <c r="X42" i="51"/>
  <c r="V42" i="51"/>
  <c r="Z41" i="51"/>
  <c r="X41" i="51"/>
  <c r="V41" i="51"/>
  <c r="Z40" i="51"/>
  <c r="X40" i="51"/>
  <c r="V40" i="51"/>
  <c r="Z39" i="51"/>
  <c r="X39" i="51"/>
  <c r="V39" i="51"/>
  <c r="Z38" i="51"/>
  <c r="X38" i="51"/>
  <c r="V38" i="51"/>
  <c r="Z37" i="51"/>
  <c r="X37" i="51"/>
  <c r="V37" i="51"/>
  <c r="Z36" i="51"/>
  <c r="X36" i="51"/>
  <c r="V36" i="51"/>
  <c r="Z35" i="51"/>
  <c r="X35" i="51"/>
  <c r="V35" i="51"/>
  <c r="Z34" i="51"/>
  <c r="X34" i="51"/>
  <c r="V34" i="51"/>
  <c r="Z33" i="51"/>
  <c r="X33" i="51"/>
  <c r="V33" i="51"/>
  <c r="Z32" i="51"/>
  <c r="X32" i="51"/>
  <c r="V32" i="51"/>
  <c r="Z31" i="51"/>
  <c r="X31" i="51"/>
  <c r="V31" i="51"/>
  <c r="Z30" i="51"/>
  <c r="X30" i="51"/>
  <c r="V30" i="51"/>
  <c r="Z29" i="51"/>
  <c r="X29" i="51"/>
  <c r="V29" i="51"/>
  <c r="Z28" i="51"/>
  <c r="X28" i="51"/>
  <c r="V28" i="51"/>
  <c r="Z27" i="51"/>
  <c r="X27" i="51"/>
  <c r="V27" i="51"/>
  <c r="Z26" i="51"/>
  <c r="X26" i="51"/>
  <c r="V26" i="51"/>
  <c r="Z25" i="51"/>
  <c r="AC25" i="51" s="1"/>
  <c r="AD25" i="51" s="1"/>
  <c r="AE25" i="51" s="1"/>
  <c r="X25" i="51"/>
  <c r="V25" i="51"/>
  <c r="AC24" i="51"/>
  <c r="AD24" i="51" s="1"/>
  <c r="AE24" i="51" s="1"/>
  <c r="Z24" i="51"/>
  <c r="X24" i="51"/>
  <c r="V24" i="51"/>
  <c r="T24" i="51"/>
  <c r="T25" i="51" s="1"/>
  <c r="T26" i="51" s="1"/>
  <c r="R24" i="51"/>
  <c r="R25" i="51" s="1"/>
  <c r="R26" i="51" s="1"/>
  <c r="R27" i="51" s="1"/>
  <c r="R28" i="51" s="1"/>
  <c r="R29" i="51" s="1"/>
  <c r="R30" i="51" s="1"/>
  <c r="R31" i="51" s="1"/>
  <c r="R32" i="51" s="1"/>
  <c r="R33" i="51" s="1"/>
  <c r="R34" i="51" s="1"/>
  <c r="R35" i="51" s="1"/>
  <c r="R36" i="51" s="1"/>
  <c r="R37" i="51" s="1"/>
  <c r="R38" i="51" s="1"/>
  <c r="R39" i="51" s="1"/>
  <c r="R40" i="51" s="1"/>
  <c r="R41" i="51" s="1"/>
  <c r="R42" i="51" s="1"/>
  <c r="R43" i="51" s="1"/>
  <c r="R44" i="51" s="1"/>
  <c r="R45" i="51" s="1"/>
  <c r="R46" i="51" s="1"/>
  <c r="R47" i="51" s="1"/>
  <c r="R48" i="51" s="1"/>
  <c r="R49" i="51" s="1"/>
  <c r="R50" i="51" s="1"/>
  <c r="R51" i="51" s="1"/>
  <c r="R52" i="51" s="1"/>
  <c r="R53" i="51" s="1"/>
  <c r="Z23" i="51"/>
  <c r="AC23" i="51" s="1"/>
  <c r="AD23" i="51" s="1"/>
  <c r="AE23" i="51" s="1"/>
  <c r="X23" i="51"/>
  <c r="V23" i="51"/>
  <c r="S23" i="51"/>
  <c r="S24" i="51" s="1"/>
  <c r="M24" i="51"/>
  <c r="N24" i="51" s="1"/>
  <c r="O24" i="51" s="1"/>
  <c r="M25" i="51"/>
  <c r="N25" i="51" s="1"/>
  <c r="O25" i="51" s="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H24" i="51"/>
  <c r="H25" i="51"/>
  <c r="H26" i="51"/>
  <c r="H27" i="51"/>
  <c r="H28" i="5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8" i="51"/>
  <c r="H49" i="51"/>
  <c r="H50" i="51"/>
  <c r="H51" i="51"/>
  <c r="H52" i="51"/>
  <c r="H5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A24" i="51"/>
  <c r="D24" i="51" s="1"/>
  <c r="J23" i="51"/>
  <c r="M23" i="51" s="1"/>
  <c r="N23" i="51" s="1"/>
  <c r="O23" i="51" s="1"/>
  <c r="F23" i="51"/>
  <c r="H23" i="51"/>
  <c r="B24" i="5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AA24" i="51" l="1"/>
  <c r="AB24" i="51" s="1"/>
  <c r="AA23" i="51"/>
  <c r="AB23" i="51" s="1"/>
  <c r="T27" i="51"/>
  <c r="S25" i="51"/>
  <c r="S26" i="51" s="1"/>
  <c r="S27" i="51" s="1"/>
  <c r="D25" i="51"/>
  <c r="A25" i="5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A26" i="51" l="1"/>
  <c r="AA25" i="51"/>
  <c r="AB25" i="51" s="1"/>
  <c r="T28" i="51"/>
  <c r="AA27" i="51"/>
  <c r="D26" i="51"/>
  <c r="T29" i="51" l="1"/>
  <c r="S28" i="51"/>
  <c r="D27" i="51"/>
  <c r="S29" i="51" l="1"/>
  <c r="AA28" i="51"/>
  <c r="T30" i="51"/>
  <c r="D28" i="51"/>
  <c r="T31" i="51" l="1"/>
  <c r="S30" i="51"/>
  <c r="AA29" i="51"/>
  <c r="D29" i="51"/>
  <c r="S31" i="51" l="1"/>
  <c r="AA30" i="51"/>
  <c r="T32" i="51"/>
  <c r="D30" i="51"/>
  <c r="T33" i="51" l="1"/>
  <c r="S32" i="51"/>
  <c r="AA31" i="51"/>
  <c r="D31" i="51"/>
  <c r="T34" i="51" l="1"/>
  <c r="S33" i="51"/>
  <c r="AA32" i="51"/>
  <c r="D32" i="51"/>
  <c r="T35" i="51" l="1"/>
  <c r="S34" i="51"/>
  <c r="AA33" i="51"/>
  <c r="D33" i="51"/>
  <c r="S35" i="51" l="1"/>
  <c r="AA34" i="51"/>
  <c r="T36" i="51"/>
  <c r="D34" i="51"/>
  <c r="T37" i="51" l="1"/>
  <c r="S36" i="51"/>
  <c r="AA35" i="51"/>
  <c r="D35" i="51"/>
  <c r="S37" i="51" l="1"/>
  <c r="AA36" i="51"/>
  <c r="T38" i="51"/>
  <c r="D36" i="51"/>
  <c r="T39" i="51" l="1"/>
  <c r="S38" i="51"/>
  <c r="AA37" i="51"/>
  <c r="D37" i="51"/>
  <c r="T40" i="51" l="1"/>
  <c r="S39" i="51"/>
  <c r="AA38" i="51"/>
  <c r="D38" i="51"/>
  <c r="T41" i="51" l="1"/>
  <c r="S40" i="51"/>
  <c r="AA39" i="51"/>
  <c r="D39" i="51"/>
  <c r="S41" i="51" l="1"/>
  <c r="AA40" i="51"/>
  <c r="T42" i="51"/>
  <c r="D40" i="51"/>
  <c r="T43" i="51" l="1"/>
  <c r="S42" i="51"/>
  <c r="AA41" i="51"/>
  <c r="D41" i="51"/>
  <c r="S43" i="51" l="1"/>
  <c r="AA42" i="51"/>
  <c r="T44" i="51"/>
  <c r="D42" i="51"/>
  <c r="T45" i="51" l="1"/>
  <c r="S44" i="51"/>
  <c r="AA43" i="51"/>
  <c r="D43" i="51"/>
  <c r="S45" i="51" l="1"/>
  <c r="AA44" i="51"/>
  <c r="T46" i="51"/>
  <c r="D44" i="51"/>
  <c r="T47" i="51" l="1"/>
  <c r="S46" i="51"/>
  <c r="AA45" i="51"/>
  <c r="D45" i="51"/>
  <c r="S47" i="51" l="1"/>
  <c r="AA46" i="51"/>
  <c r="T48" i="51"/>
  <c r="D46" i="51"/>
  <c r="T49" i="51" l="1"/>
  <c r="S48" i="51"/>
  <c r="AA47" i="51"/>
  <c r="D47" i="51"/>
  <c r="S49" i="51" l="1"/>
  <c r="AA48" i="51"/>
  <c r="T50" i="51"/>
  <c r="D48" i="51"/>
  <c r="T51" i="51" l="1"/>
  <c r="S50" i="51"/>
  <c r="AA49" i="51"/>
  <c r="D49" i="51"/>
  <c r="S51" i="51" l="1"/>
  <c r="AA50" i="51"/>
  <c r="T52" i="51"/>
  <c r="D50" i="51"/>
  <c r="T53" i="51" l="1"/>
  <c r="S52" i="51"/>
  <c r="AA51" i="51"/>
  <c r="D51" i="51"/>
  <c r="S53" i="51" l="1"/>
  <c r="AA53" i="51" s="1"/>
  <c r="AA52" i="51"/>
  <c r="D52" i="51"/>
  <c r="D53" i="51" l="1"/>
  <c r="G13" i="48" l="1"/>
  <c r="E66" i="28" l="1"/>
  <c r="E71" i="28" s="1"/>
  <c r="F16" i="28"/>
  <c r="G16" i="28" s="1"/>
  <c r="H16" i="28" s="1"/>
  <c r="I16" i="28" s="1"/>
  <c r="J16" i="28" s="1"/>
  <c r="K16" i="28" s="1"/>
  <c r="L16" i="28" s="1"/>
  <c r="M16" i="28" s="1"/>
  <c r="F15" i="28"/>
  <c r="H58" i="28"/>
  <c r="N16" i="28" l="1"/>
  <c r="M42" i="28"/>
  <c r="E75" i="28"/>
  <c r="E79" i="28"/>
  <c r="E78" i="28"/>
  <c r="E77" i="28"/>
  <c r="E68" i="28"/>
  <c r="E76" i="28"/>
  <c r="E70" i="28"/>
  <c r="E72" i="28"/>
  <c r="E69" i="28"/>
  <c r="F66" i="28"/>
  <c r="F71" i="28" s="1"/>
  <c r="G15" i="28"/>
  <c r="G41" i="28" s="1"/>
  <c r="O16" i="28" l="1"/>
  <c r="N42" i="28"/>
  <c r="E81" i="28"/>
  <c r="F78" i="28"/>
  <c r="F76" i="28"/>
  <c r="F75" i="28"/>
  <c r="F77" i="28"/>
  <c r="F79" i="28"/>
  <c r="F72" i="28"/>
  <c r="F70" i="28"/>
  <c r="F68" i="28"/>
  <c r="F69" i="28"/>
  <c r="H15" i="28"/>
  <c r="H41" i="28" s="1"/>
  <c r="P16" i="28" l="1"/>
  <c r="P42" i="28" s="1"/>
  <c r="O42" i="28"/>
  <c r="F81" i="28"/>
  <c r="I15" i="28"/>
  <c r="I41" i="28" s="1"/>
  <c r="I41" i="29"/>
  <c r="I34" i="29"/>
  <c r="I33" i="43"/>
  <c r="I40" i="43"/>
  <c r="J15" i="28" l="1"/>
  <c r="J41" i="28" s="1"/>
  <c r="G17" i="50"/>
  <c r="G18" i="50"/>
  <c r="G19" i="50"/>
  <c r="G16" i="50"/>
  <c r="G14" i="50"/>
  <c r="B79" i="50"/>
  <c r="B77" i="50"/>
  <c r="B76" i="50"/>
  <c r="B75" i="50"/>
  <c r="AK40" i="50"/>
  <c r="AJ40" i="50"/>
  <c r="AI40" i="50"/>
  <c r="AH40" i="50"/>
  <c r="AG40" i="50"/>
  <c r="AF40" i="50"/>
  <c r="AE40" i="50"/>
  <c r="AD40" i="50"/>
  <c r="AC40" i="50"/>
  <c r="AB40" i="50"/>
  <c r="AA40" i="50"/>
  <c r="Z40" i="50"/>
  <c r="Y40" i="50"/>
  <c r="X40" i="50"/>
  <c r="W40" i="50"/>
  <c r="V40" i="50"/>
  <c r="U40" i="50"/>
  <c r="T40" i="50"/>
  <c r="S40" i="50"/>
  <c r="R40" i="50"/>
  <c r="Q40" i="50"/>
  <c r="P40" i="50"/>
  <c r="O40" i="50"/>
  <c r="N40" i="50"/>
  <c r="M40" i="50"/>
  <c r="L40" i="50"/>
  <c r="K40" i="50"/>
  <c r="J40" i="50"/>
  <c r="I40" i="50"/>
  <c r="H40" i="50"/>
  <c r="H39" i="50"/>
  <c r="H70" i="50" s="1"/>
  <c r="G33" i="50"/>
  <c r="M23" i="50"/>
  <c r="U15" i="50"/>
  <c r="M14" i="50"/>
  <c r="M13" i="50"/>
  <c r="U11" i="50"/>
  <c r="H19" i="51" l="1"/>
  <c r="K15" i="28"/>
  <c r="K41" i="28" s="1"/>
  <c r="G36" i="50"/>
  <c r="G35" i="50"/>
  <c r="H33" i="50"/>
  <c r="H59" i="50"/>
  <c r="I39" i="50"/>
  <c r="L15" i="28" l="1"/>
  <c r="L41" i="28" s="1"/>
  <c r="G37" i="50"/>
  <c r="H36" i="50"/>
  <c r="I33" i="50"/>
  <c r="H35" i="50"/>
  <c r="I59" i="50"/>
  <c r="J39" i="50"/>
  <c r="I70" i="50"/>
  <c r="M15" i="28" l="1"/>
  <c r="J33" i="50"/>
  <c r="I35" i="50"/>
  <c r="I36" i="50"/>
  <c r="H37" i="50"/>
  <c r="J59" i="50"/>
  <c r="K39" i="50"/>
  <c r="J70" i="50"/>
  <c r="M41" i="28" l="1"/>
  <c r="X19" i="51"/>
  <c r="N15" i="28"/>
  <c r="K33" i="50"/>
  <c r="J35" i="50"/>
  <c r="J36" i="50"/>
  <c r="I37" i="50"/>
  <c r="K70" i="50"/>
  <c r="K59" i="50"/>
  <c r="L39" i="50"/>
  <c r="N41" i="28" l="1"/>
  <c r="J37" i="50"/>
  <c r="O15" i="28"/>
  <c r="L33" i="50"/>
  <c r="K35" i="50"/>
  <c r="K36" i="50"/>
  <c r="L70" i="50"/>
  <c r="L59" i="50"/>
  <c r="M39" i="50"/>
  <c r="O41" i="28" l="1"/>
  <c r="K37" i="50"/>
  <c r="P15" i="28"/>
  <c r="M70" i="50"/>
  <c r="N39" i="50"/>
  <c r="M59" i="50"/>
  <c r="L35" i="50"/>
  <c r="L36" i="50"/>
  <c r="M33" i="50"/>
  <c r="P41" i="28" l="1"/>
  <c r="M36" i="50"/>
  <c r="N33" i="50"/>
  <c r="M35" i="50"/>
  <c r="L37" i="50"/>
  <c r="N70" i="50"/>
  <c r="N59" i="50"/>
  <c r="O39" i="50"/>
  <c r="N36" i="50" l="1"/>
  <c r="O33" i="50"/>
  <c r="N35" i="50"/>
  <c r="O70" i="50"/>
  <c r="O59" i="50"/>
  <c r="P39" i="50"/>
  <c r="M37" i="50"/>
  <c r="O35" i="50" l="1"/>
  <c r="O36" i="50"/>
  <c r="O37" i="50" s="1"/>
  <c r="P33" i="50"/>
  <c r="P59" i="50"/>
  <c r="P70" i="50"/>
  <c r="Q39" i="50"/>
  <c r="N37" i="50"/>
  <c r="R39" i="50" l="1"/>
  <c r="P36" i="50"/>
  <c r="Q33" i="50"/>
  <c r="P35" i="50"/>
  <c r="P37" i="50" l="1"/>
  <c r="R59" i="50"/>
  <c r="R86" i="50"/>
  <c r="R61" i="50"/>
  <c r="S39" i="50"/>
  <c r="R70" i="50"/>
  <c r="R71" i="50"/>
  <c r="R85" i="50"/>
  <c r="Q35" i="50"/>
  <c r="R33" i="50"/>
  <c r="Q36" i="50"/>
  <c r="S86" i="50" l="1"/>
  <c r="S61" i="50"/>
  <c r="S70" i="50"/>
  <c r="S59" i="50"/>
  <c r="T39" i="50"/>
  <c r="S71" i="50"/>
  <c r="S85" i="50"/>
  <c r="R73" i="50"/>
  <c r="Q37" i="50"/>
  <c r="R35" i="50"/>
  <c r="H45" i="50" s="1"/>
  <c r="R36" i="50"/>
  <c r="H46" i="50" s="1"/>
  <c r="T70" i="50" l="1"/>
  <c r="U39" i="50"/>
  <c r="T86" i="50"/>
  <c r="T71" i="50"/>
  <c r="T85" i="50"/>
  <c r="T61" i="50"/>
  <c r="T59" i="50"/>
  <c r="S73" i="50"/>
  <c r="R37" i="50"/>
  <c r="T73" i="50" l="1"/>
  <c r="H51" i="50"/>
  <c r="U70" i="50"/>
  <c r="U85" i="50"/>
  <c r="U71" i="50"/>
  <c r="U86" i="50"/>
  <c r="U61" i="50"/>
  <c r="U59" i="50"/>
  <c r="V39" i="50"/>
  <c r="U73" i="50" l="1"/>
  <c r="V70" i="50"/>
  <c r="V85" i="50"/>
  <c r="V71" i="50"/>
  <c r="V59" i="50"/>
  <c r="W39" i="50"/>
  <c r="V61" i="50"/>
  <c r="V86" i="50"/>
  <c r="W70" i="50" l="1"/>
  <c r="W85" i="50"/>
  <c r="W71" i="50"/>
  <c r="W59" i="50"/>
  <c r="W86" i="50"/>
  <c r="W61" i="50"/>
  <c r="X39" i="50"/>
  <c r="V73" i="50"/>
  <c r="X85" i="50" l="1"/>
  <c r="X71" i="50"/>
  <c r="X59" i="50"/>
  <c r="X86" i="50"/>
  <c r="X61" i="50"/>
  <c r="X70" i="50"/>
  <c r="Y39" i="50"/>
  <c r="W73" i="50"/>
  <c r="Y85" i="50" l="1"/>
  <c r="Y71" i="50"/>
  <c r="Y59" i="50"/>
  <c r="Z39" i="50"/>
  <c r="Y86" i="50"/>
  <c r="Y61" i="50"/>
  <c r="Y70" i="50"/>
  <c r="X73" i="50"/>
  <c r="Z59" i="50" l="1"/>
  <c r="Z86" i="50"/>
  <c r="Z61" i="50"/>
  <c r="Z71" i="50"/>
  <c r="Z85" i="50"/>
  <c r="Z70" i="50"/>
  <c r="AA39" i="50"/>
  <c r="Y73" i="50"/>
  <c r="AA86" i="50" l="1"/>
  <c r="AA61" i="50"/>
  <c r="AA70" i="50"/>
  <c r="AA71" i="50"/>
  <c r="AA85" i="50"/>
  <c r="AB39" i="50"/>
  <c r="AA59" i="50"/>
  <c r="Z73" i="50"/>
  <c r="AA73" i="50" l="1"/>
  <c r="AB70" i="50"/>
  <c r="AB85" i="50"/>
  <c r="AB61" i="50"/>
  <c r="AC39" i="50"/>
  <c r="AB86" i="50"/>
  <c r="AB59" i="50"/>
  <c r="AB71" i="50"/>
  <c r="AC70" i="50" l="1"/>
  <c r="AC85" i="50"/>
  <c r="AC71" i="50"/>
  <c r="AC61" i="50"/>
  <c r="AD39" i="50"/>
  <c r="AC86" i="50"/>
  <c r="AC59" i="50"/>
  <c r="AB73" i="50"/>
  <c r="AC73" i="50" l="1"/>
  <c r="AD70" i="50"/>
  <c r="AD85" i="50"/>
  <c r="AD71" i="50"/>
  <c r="AD59" i="50"/>
  <c r="AE39" i="50"/>
  <c r="AD86" i="50"/>
  <c r="AD61" i="50"/>
  <c r="AD73" i="50" l="1"/>
  <c r="AE70" i="50"/>
  <c r="AE85" i="50"/>
  <c r="AE71" i="50"/>
  <c r="AE59" i="50"/>
  <c r="AE86" i="50"/>
  <c r="AE61" i="50"/>
  <c r="AF39" i="50"/>
  <c r="AF85" i="50" l="1"/>
  <c r="AF71" i="50"/>
  <c r="AF59" i="50"/>
  <c r="AF86" i="50"/>
  <c r="AF61" i="50"/>
  <c r="AF70" i="50"/>
  <c r="AG39" i="50"/>
  <c r="AE73" i="50"/>
  <c r="AG85" i="50" l="1"/>
  <c r="AG71" i="50"/>
  <c r="AG59" i="50"/>
  <c r="AH39" i="50"/>
  <c r="AG86" i="50"/>
  <c r="AG61" i="50"/>
  <c r="AG70" i="50"/>
  <c r="AF73" i="50"/>
  <c r="AG73" i="50" l="1"/>
  <c r="AH59" i="50"/>
  <c r="AH86" i="50"/>
  <c r="AH61" i="50"/>
  <c r="AH70" i="50"/>
  <c r="AH71" i="50"/>
  <c r="AH85" i="50"/>
  <c r="AI39" i="50"/>
  <c r="AI86" i="50" l="1"/>
  <c r="AI61" i="50"/>
  <c r="AI70" i="50"/>
  <c r="AI59" i="50"/>
  <c r="AI85" i="50"/>
  <c r="AJ39" i="50"/>
  <c r="AI71" i="50"/>
  <c r="AH73" i="50"/>
  <c r="AJ70" i="50" l="1"/>
  <c r="AJ59" i="50"/>
  <c r="AJ85" i="50"/>
  <c r="AJ86" i="50"/>
  <c r="AJ61" i="50"/>
  <c r="AJ71" i="50"/>
  <c r="AK39" i="50"/>
  <c r="AI73" i="50"/>
  <c r="AJ73" i="50" l="1"/>
  <c r="AK70" i="50"/>
  <c r="AK85" i="50"/>
  <c r="AK71" i="50"/>
  <c r="AK59" i="50"/>
  <c r="AK86" i="50"/>
  <c r="AK61" i="50"/>
  <c r="AK73" i="50" l="1"/>
  <c r="U11" i="49" l="1"/>
  <c r="U15" i="49"/>
  <c r="M23" i="49"/>
  <c r="M13" i="49"/>
  <c r="T16" i="56" s="1"/>
  <c r="M14" i="49"/>
  <c r="T17" i="56" s="1"/>
  <c r="G18" i="49"/>
  <c r="G19" i="49"/>
  <c r="G17" i="49"/>
  <c r="G14" i="49"/>
  <c r="G16" i="49"/>
  <c r="D28" i="37"/>
  <c r="H28" i="37" s="1"/>
  <c r="C43" i="37"/>
  <c r="B79" i="49"/>
  <c r="B77" i="49"/>
  <c r="B76" i="49"/>
  <c r="B75" i="49"/>
  <c r="AK40" i="49"/>
  <c r="AJ40" i="49"/>
  <c r="AI40" i="49"/>
  <c r="AH40" i="49"/>
  <c r="AG40" i="49"/>
  <c r="AF40" i="49"/>
  <c r="AE40" i="49"/>
  <c r="AD40" i="49"/>
  <c r="AC40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H39" i="49"/>
  <c r="H70" i="49" s="1"/>
  <c r="G33" i="49"/>
  <c r="B34" i="35"/>
  <c r="D51" i="37" l="1"/>
  <c r="H51" i="37" s="1"/>
  <c r="G36" i="49"/>
  <c r="H33" i="49"/>
  <c r="G35" i="49"/>
  <c r="I39" i="49"/>
  <c r="H59" i="49"/>
  <c r="G37" i="49" l="1"/>
  <c r="H36" i="49"/>
  <c r="I33" i="49"/>
  <c r="H35" i="49"/>
  <c r="I59" i="49"/>
  <c r="J39" i="49"/>
  <c r="I70" i="49"/>
  <c r="D52" i="37"/>
  <c r="H52" i="37" s="1"/>
  <c r="D53" i="37"/>
  <c r="H53" i="37" s="1"/>
  <c r="D54" i="37"/>
  <c r="H54" i="37" s="1"/>
  <c r="D50" i="37"/>
  <c r="H50" i="37" s="1"/>
  <c r="AK89" i="48"/>
  <c r="AJ89" i="48"/>
  <c r="AI89" i="48"/>
  <c r="AH89" i="48"/>
  <c r="AG89" i="48"/>
  <c r="AF89" i="48"/>
  <c r="AE89" i="48"/>
  <c r="AD89" i="48"/>
  <c r="AC89" i="48"/>
  <c r="AB89" i="48"/>
  <c r="AA89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C52" i="48"/>
  <c r="C50" i="48"/>
  <c r="C49" i="48"/>
  <c r="C48" i="48"/>
  <c r="AK38" i="48"/>
  <c r="AJ38" i="48"/>
  <c r="AI38" i="48"/>
  <c r="AH38" i="48"/>
  <c r="AG38" i="48"/>
  <c r="AF38" i="48"/>
  <c r="AE38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H37" i="48"/>
  <c r="H85" i="48" s="1"/>
  <c r="AK42" i="47"/>
  <c r="AJ42" i="47"/>
  <c r="AI42" i="47"/>
  <c r="AH42" i="47"/>
  <c r="AG42" i="47"/>
  <c r="AF42" i="47"/>
  <c r="AE42" i="47"/>
  <c r="AD42" i="47"/>
  <c r="AC42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H41" i="47"/>
  <c r="H43" i="47" s="1"/>
  <c r="H35" i="47"/>
  <c r="I41" i="47" s="1"/>
  <c r="I43" i="47" s="1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C50" i="46"/>
  <c r="C48" i="46"/>
  <c r="C47" i="46"/>
  <c r="C4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H35" i="46"/>
  <c r="B80" i="45"/>
  <c r="B78" i="45"/>
  <c r="B77" i="45"/>
  <c r="B76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H39" i="45"/>
  <c r="I39" i="45" s="1"/>
  <c r="I71" i="45" s="1"/>
  <c r="G32" i="45"/>
  <c r="G35" i="45" s="1"/>
  <c r="F68" i="44"/>
  <c r="F61" i="44"/>
  <c r="F58" i="44"/>
  <c r="B37" i="44"/>
  <c r="B36" i="44"/>
  <c r="B35" i="44"/>
  <c r="B33" i="44"/>
  <c r="F13" i="44"/>
  <c r="G12" i="44"/>
  <c r="H12" i="44" s="1"/>
  <c r="I12" i="44" s="1"/>
  <c r="J12" i="44" s="1"/>
  <c r="K12" i="44" s="1"/>
  <c r="L12" i="44" s="1"/>
  <c r="M12" i="44" s="1"/>
  <c r="N12" i="44" s="1"/>
  <c r="O12" i="44" s="1"/>
  <c r="P12" i="44" s="1"/>
  <c r="Q12" i="44" s="1"/>
  <c r="R12" i="44" s="1"/>
  <c r="S12" i="44" s="1"/>
  <c r="T12" i="44" s="1"/>
  <c r="U12" i="44" s="1"/>
  <c r="V12" i="44" s="1"/>
  <c r="W12" i="44" s="1"/>
  <c r="X12" i="44" s="1"/>
  <c r="Y12" i="44" s="1"/>
  <c r="Z12" i="44" s="1"/>
  <c r="AA12" i="44" s="1"/>
  <c r="AB12" i="44" s="1"/>
  <c r="AC12" i="44" s="1"/>
  <c r="AD12" i="44" s="1"/>
  <c r="AE12" i="44" s="1"/>
  <c r="AF12" i="44" s="1"/>
  <c r="AG12" i="44" s="1"/>
  <c r="AH12" i="44" s="1"/>
  <c r="AI12" i="44" s="1"/>
  <c r="AJ12" i="44" s="1"/>
  <c r="D23" i="43"/>
  <c r="I35" i="47" l="1"/>
  <c r="J41" i="47" s="1"/>
  <c r="J43" i="47" s="1"/>
  <c r="M44" i="28"/>
  <c r="N44" i="28"/>
  <c r="O44" i="28"/>
  <c r="P44" i="28"/>
  <c r="I37" i="48"/>
  <c r="I63" i="48" s="1"/>
  <c r="I64" i="48" s="1"/>
  <c r="H74" i="48"/>
  <c r="H60" i="45"/>
  <c r="F27" i="44"/>
  <c r="F37" i="44"/>
  <c r="F26" i="44"/>
  <c r="F36" i="44"/>
  <c r="F25" i="44"/>
  <c r="F35" i="44"/>
  <c r="F34" i="44"/>
  <c r="F33" i="44"/>
  <c r="F29" i="44"/>
  <c r="F28" i="44"/>
  <c r="J35" i="47"/>
  <c r="K35" i="47" s="1"/>
  <c r="L41" i="47" s="1"/>
  <c r="L43" i="47" s="1"/>
  <c r="D25" i="43"/>
  <c r="I44" i="43" s="1"/>
  <c r="I45" i="43" s="1"/>
  <c r="G36" i="45"/>
  <c r="H32" i="45"/>
  <c r="H35" i="45" s="1"/>
  <c r="G34" i="45"/>
  <c r="J33" i="49"/>
  <c r="I35" i="49"/>
  <c r="I36" i="49"/>
  <c r="H37" i="49"/>
  <c r="J59" i="49"/>
  <c r="K39" i="49"/>
  <c r="J70" i="49"/>
  <c r="F42" i="44"/>
  <c r="F43" i="44" s="1"/>
  <c r="H36" i="45"/>
  <c r="F59" i="44"/>
  <c r="G13" i="44"/>
  <c r="F71" i="44"/>
  <c r="H71" i="45"/>
  <c r="I60" i="45"/>
  <c r="J39" i="45"/>
  <c r="K69" i="47"/>
  <c r="K70" i="47" s="1"/>
  <c r="L35" i="47"/>
  <c r="K80" i="47"/>
  <c r="H83" i="46"/>
  <c r="H72" i="46"/>
  <c r="H61" i="46"/>
  <c r="H62" i="46" s="1"/>
  <c r="I35" i="46"/>
  <c r="J80" i="47"/>
  <c r="J69" i="47"/>
  <c r="J70" i="47" s="1"/>
  <c r="K41" i="47"/>
  <c r="K43" i="47" s="1"/>
  <c r="I69" i="47"/>
  <c r="I70" i="47" s="1"/>
  <c r="I80" i="47"/>
  <c r="H80" i="47"/>
  <c r="H69" i="47"/>
  <c r="H70" i="47" s="1"/>
  <c r="I85" i="48"/>
  <c r="J37" i="48"/>
  <c r="H63" i="48"/>
  <c r="H64" i="48" s="1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S89" i="42"/>
  <c r="T89" i="42"/>
  <c r="U89" i="42"/>
  <c r="V89" i="42"/>
  <c r="W89" i="42"/>
  <c r="X89" i="42"/>
  <c r="Y89" i="42"/>
  <c r="Z89" i="42"/>
  <c r="AA89" i="42"/>
  <c r="AB89" i="42"/>
  <c r="AC89" i="42"/>
  <c r="AD89" i="42"/>
  <c r="AE89" i="42"/>
  <c r="AF89" i="42"/>
  <c r="AG89" i="42"/>
  <c r="AH89" i="42"/>
  <c r="AI89" i="42"/>
  <c r="AJ89" i="42"/>
  <c r="AK89" i="42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S36" i="40"/>
  <c r="T36" i="40"/>
  <c r="U36" i="40"/>
  <c r="V36" i="40"/>
  <c r="W36" i="40"/>
  <c r="X36" i="40"/>
  <c r="Y36" i="40"/>
  <c r="Z36" i="40"/>
  <c r="AA36" i="40"/>
  <c r="AB36" i="40"/>
  <c r="AC36" i="40"/>
  <c r="AD36" i="40"/>
  <c r="AE36" i="40"/>
  <c r="AF36" i="40"/>
  <c r="AG36" i="40"/>
  <c r="AH36" i="40"/>
  <c r="AI36" i="40"/>
  <c r="AJ36" i="40"/>
  <c r="AK36" i="40"/>
  <c r="S87" i="40"/>
  <c r="T87" i="40"/>
  <c r="U87" i="40"/>
  <c r="V87" i="40"/>
  <c r="W87" i="40"/>
  <c r="X87" i="40"/>
  <c r="Y87" i="40"/>
  <c r="Z87" i="40"/>
  <c r="AA87" i="40"/>
  <c r="AB87" i="40"/>
  <c r="AC87" i="40"/>
  <c r="AD87" i="40"/>
  <c r="AE87" i="40"/>
  <c r="AF87" i="40"/>
  <c r="AG87" i="40"/>
  <c r="AH87" i="40"/>
  <c r="AI87" i="40"/>
  <c r="AJ87" i="40"/>
  <c r="AK87" i="40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F13" i="35"/>
  <c r="D23" i="29"/>
  <c r="R97" i="31"/>
  <c r="Q97" i="31"/>
  <c r="P97" i="31"/>
  <c r="R96" i="31"/>
  <c r="Q96" i="31"/>
  <c r="P96" i="31"/>
  <c r="N97" i="31"/>
  <c r="D13" i="43" s="1"/>
  <c r="N96" i="31"/>
  <c r="E13" i="56" s="1"/>
  <c r="D24" i="29" l="1"/>
  <c r="D28" i="29" s="1"/>
  <c r="I45" i="29" s="1"/>
  <c r="H34" i="45"/>
  <c r="F70" i="44"/>
  <c r="I74" i="48"/>
  <c r="G37" i="45"/>
  <c r="I32" i="45"/>
  <c r="J32" i="45" s="1"/>
  <c r="G28" i="44"/>
  <c r="G33" i="44"/>
  <c r="G27" i="44"/>
  <c r="G29" i="44"/>
  <c r="G26" i="44"/>
  <c r="G37" i="44"/>
  <c r="G25" i="44"/>
  <c r="G36" i="44"/>
  <c r="G35" i="44"/>
  <c r="G34" i="44"/>
  <c r="F69" i="44"/>
  <c r="F62" i="44"/>
  <c r="F28" i="35"/>
  <c r="F29" i="35"/>
  <c r="F27" i="35"/>
  <c r="F37" i="35"/>
  <c r="F26" i="35"/>
  <c r="F36" i="35"/>
  <c r="F35" i="35"/>
  <c r="F34" i="35"/>
  <c r="F33" i="35"/>
  <c r="F25" i="35"/>
  <c r="E53" i="28"/>
  <c r="F53" i="28"/>
  <c r="G53" i="28"/>
  <c r="H53" i="28"/>
  <c r="I53" i="28"/>
  <c r="K53" i="28"/>
  <c r="M53" i="28"/>
  <c r="N53" i="28"/>
  <c r="O53" i="28"/>
  <c r="F44" i="44"/>
  <c r="G72" i="44"/>
  <c r="F72" i="44"/>
  <c r="F73" i="44" s="1"/>
  <c r="G68" i="44" s="1"/>
  <c r="G71" i="44" s="1"/>
  <c r="F44" i="35"/>
  <c r="F38" i="44"/>
  <c r="G44" i="44"/>
  <c r="F30" i="44"/>
  <c r="F40" i="44"/>
  <c r="K70" i="49"/>
  <c r="K59" i="49"/>
  <c r="L39" i="49"/>
  <c r="K33" i="49"/>
  <c r="J35" i="49"/>
  <c r="J36" i="49"/>
  <c r="I37" i="49"/>
  <c r="D13" i="29"/>
  <c r="H11" i="37"/>
  <c r="D16" i="43"/>
  <c r="D43" i="37" s="1"/>
  <c r="X30" i="37" s="1"/>
  <c r="I61" i="46"/>
  <c r="I62" i="46" s="1"/>
  <c r="I72" i="46"/>
  <c r="I83" i="46"/>
  <c r="J35" i="46"/>
  <c r="I35" i="45"/>
  <c r="H37" i="45"/>
  <c r="J60" i="45"/>
  <c r="J71" i="45"/>
  <c r="K39" i="45"/>
  <c r="J85" i="48"/>
  <c r="J74" i="48"/>
  <c r="K37" i="48"/>
  <c r="J63" i="48"/>
  <c r="J64" i="48" s="1"/>
  <c r="G70" i="44"/>
  <c r="G69" i="44"/>
  <c r="H13" i="44"/>
  <c r="H72" i="44" s="1"/>
  <c r="G59" i="44"/>
  <c r="G62" i="44"/>
  <c r="G42" i="44"/>
  <c r="G43" i="44" s="1"/>
  <c r="G18" i="44"/>
  <c r="L80" i="47"/>
  <c r="L69" i="47"/>
  <c r="L70" i="47" s="1"/>
  <c r="M41" i="47"/>
  <c r="M43" i="47" s="1"/>
  <c r="M35" i="47"/>
  <c r="F71" i="35"/>
  <c r="F70" i="35"/>
  <c r="F42" i="35"/>
  <c r="F60" i="35"/>
  <c r="F63" i="35"/>
  <c r="G13" i="35"/>
  <c r="G44" i="35" l="1"/>
  <c r="E26" i="28" s="1"/>
  <c r="F73" i="35"/>
  <c r="G38" i="44"/>
  <c r="G30" i="44"/>
  <c r="I34" i="45"/>
  <c r="I36" i="45"/>
  <c r="G40" i="44"/>
  <c r="H29" i="44"/>
  <c r="H28" i="44"/>
  <c r="H27" i="44"/>
  <c r="H26" i="44"/>
  <c r="H37" i="44"/>
  <c r="H25" i="44"/>
  <c r="H36" i="44"/>
  <c r="H33" i="44"/>
  <c r="H35" i="44"/>
  <c r="H34" i="44"/>
  <c r="F30" i="35"/>
  <c r="G27" i="35"/>
  <c r="G29" i="35"/>
  <c r="G25" i="35"/>
  <c r="G28" i="35"/>
  <c r="G34" i="35"/>
  <c r="G36" i="35"/>
  <c r="G35" i="35"/>
  <c r="G37" i="35"/>
  <c r="G26" i="35"/>
  <c r="G33" i="35"/>
  <c r="F38" i="35"/>
  <c r="F43" i="35"/>
  <c r="E52" i="28"/>
  <c r="H58" i="37"/>
  <c r="G13" i="50"/>
  <c r="G15" i="50" s="1"/>
  <c r="G12" i="50" s="1"/>
  <c r="D58" i="37"/>
  <c r="H44" i="44"/>
  <c r="L70" i="49"/>
  <c r="L59" i="49"/>
  <c r="M39" i="49"/>
  <c r="J37" i="49"/>
  <c r="L33" i="49"/>
  <c r="K35" i="49"/>
  <c r="K36" i="49"/>
  <c r="D42" i="37"/>
  <c r="X29" i="37" s="1"/>
  <c r="D45" i="37"/>
  <c r="D46" i="37"/>
  <c r="X33" i="37" s="1"/>
  <c r="G73" i="44"/>
  <c r="H68" i="44" s="1"/>
  <c r="H71" i="44" s="1"/>
  <c r="K60" i="45"/>
  <c r="K71" i="45"/>
  <c r="L39" i="45"/>
  <c r="H69" i="44"/>
  <c r="H42" i="44"/>
  <c r="H43" i="44" s="1"/>
  <c r="H70" i="44"/>
  <c r="H62" i="44"/>
  <c r="I13" i="44"/>
  <c r="H18" i="44"/>
  <c r="K85" i="48"/>
  <c r="K74" i="48"/>
  <c r="K63" i="48"/>
  <c r="K64" i="48" s="1"/>
  <c r="L37" i="48"/>
  <c r="J36" i="45"/>
  <c r="J34" i="45"/>
  <c r="K32" i="45"/>
  <c r="J35" i="45"/>
  <c r="I37" i="45"/>
  <c r="J72" i="46"/>
  <c r="K35" i="46"/>
  <c r="J83" i="46"/>
  <c r="J61" i="46"/>
  <c r="J62" i="46" s="1"/>
  <c r="M69" i="47"/>
  <c r="M70" i="47" s="1"/>
  <c r="M80" i="47"/>
  <c r="N41" i="47"/>
  <c r="N43" i="47" s="1"/>
  <c r="N35" i="47"/>
  <c r="G73" i="35"/>
  <c r="G63" i="35"/>
  <c r="G70" i="35"/>
  <c r="G71" i="35"/>
  <c r="G42" i="35"/>
  <c r="H13" i="35"/>
  <c r="G60" i="35"/>
  <c r="R19" i="57" l="1"/>
  <c r="X32" i="37"/>
  <c r="G12" i="47"/>
  <c r="G15" i="47" s="1"/>
  <c r="N20" i="57"/>
  <c r="R20" i="57" s="1"/>
  <c r="G12" i="48"/>
  <c r="G14" i="48" s="1"/>
  <c r="P18" i="57"/>
  <c r="P28" i="57" s="1"/>
  <c r="Q18" i="57"/>
  <c r="E22" i="28"/>
  <c r="E18" i="28"/>
  <c r="E19" i="28"/>
  <c r="H40" i="44"/>
  <c r="H30" i="44"/>
  <c r="H38" i="44"/>
  <c r="G38" i="35"/>
  <c r="I33" i="44"/>
  <c r="I29" i="44"/>
  <c r="I28" i="44"/>
  <c r="I27" i="44"/>
  <c r="I35" i="44"/>
  <c r="I34" i="44"/>
  <c r="I26" i="44"/>
  <c r="I37" i="44"/>
  <c r="I25" i="44"/>
  <c r="I36" i="44"/>
  <c r="I72" i="44"/>
  <c r="E21" i="28"/>
  <c r="G30" i="35"/>
  <c r="E20" i="28"/>
  <c r="H26" i="35"/>
  <c r="H28" i="35"/>
  <c r="H34" i="35"/>
  <c r="H35" i="35"/>
  <c r="H36" i="35"/>
  <c r="H33" i="35"/>
  <c r="H27" i="35"/>
  <c r="H29" i="35"/>
  <c r="H25" i="35"/>
  <c r="H16" i="35"/>
  <c r="H37" i="35"/>
  <c r="H44" i="35"/>
  <c r="F26" i="28" s="1"/>
  <c r="G43" i="35"/>
  <c r="F52" i="28"/>
  <c r="I46" i="50"/>
  <c r="I45" i="50"/>
  <c r="J46" i="50"/>
  <c r="G20" i="50"/>
  <c r="J45" i="50"/>
  <c r="K45" i="50"/>
  <c r="K46" i="50"/>
  <c r="L46" i="50"/>
  <c r="L45" i="50"/>
  <c r="M46" i="50"/>
  <c r="M45" i="50"/>
  <c r="N45" i="50"/>
  <c r="N46" i="50"/>
  <c r="O45" i="50"/>
  <c r="O46" i="50"/>
  <c r="P46" i="50"/>
  <c r="P45" i="50"/>
  <c r="Q46" i="50"/>
  <c r="Q45" i="50"/>
  <c r="R45" i="50"/>
  <c r="R46" i="50"/>
  <c r="S45" i="50"/>
  <c r="S46" i="50"/>
  <c r="T45" i="50"/>
  <c r="T46" i="50"/>
  <c r="U46" i="50"/>
  <c r="U45" i="50"/>
  <c r="V46" i="50"/>
  <c r="V45" i="50"/>
  <c r="W46" i="50"/>
  <c r="W45" i="50"/>
  <c r="X45" i="50"/>
  <c r="X46" i="50"/>
  <c r="Y45" i="50"/>
  <c r="Y46" i="50"/>
  <c r="Z46" i="50"/>
  <c r="Z45" i="50"/>
  <c r="AA46" i="50"/>
  <c r="AA45" i="50"/>
  <c r="AB46" i="50"/>
  <c r="AB45" i="50"/>
  <c r="AC46" i="50"/>
  <c r="AC45" i="50"/>
  <c r="AD45" i="50"/>
  <c r="AD46" i="50"/>
  <c r="AE46" i="50"/>
  <c r="AE45" i="50"/>
  <c r="AF46" i="50"/>
  <c r="AF45" i="50"/>
  <c r="AG45" i="50"/>
  <c r="AG46" i="50"/>
  <c r="AH45" i="50"/>
  <c r="AH46" i="50"/>
  <c r="AI46" i="50"/>
  <c r="AI45" i="50"/>
  <c r="AJ45" i="50"/>
  <c r="AJ46" i="50"/>
  <c r="AK46" i="50"/>
  <c r="AK45" i="50"/>
  <c r="I44" i="44"/>
  <c r="G13" i="45"/>
  <c r="H57" i="37"/>
  <c r="K37" i="49"/>
  <c r="M70" i="49"/>
  <c r="M59" i="49"/>
  <c r="N39" i="49"/>
  <c r="L35" i="49"/>
  <c r="M33" i="49"/>
  <c r="L36" i="49"/>
  <c r="H73" i="44"/>
  <c r="I68" i="44" s="1"/>
  <c r="I71" i="44" s="1"/>
  <c r="J37" i="45"/>
  <c r="L63" i="48"/>
  <c r="L64" i="48" s="1"/>
  <c r="M37" i="48"/>
  <c r="L74" i="48"/>
  <c r="L85" i="48"/>
  <c r="L71" i="45"/>
  <c r="L60" i="45"/>
  <c r="M39" i="45"/>
  <c r="K72" i="46"/>
  <c r="L35" i="46"/>
  <c r="K61" i="46"/>
  <c r="K62" i="46" s="1"/>
  <c r="K83" i="46"/>
  <c r="I70" i="44"/>
  <c r="I69" i="44"/>
  <c r="I59" i="44"/>
  <c r="I62" i="44"/>
  <c r="I42" i="44"/>
  <c r="I43" i="44" s="1"/>
  <c r="I18" i="44"/>
  <c r="J13" i="44"/>
  <c r="N80" i="47"/>
  <c r="N69" i="47"/>
  <c r="N70" i="47" s="1"/>
  <c r="O41" i="47"/>
  <c r="O43" i="47" s="1"/>
  <c r="O35" i="47"/>
  <c r="K36" i="45"/>
  <c r="K34" i="45"/>
  <c r="L32" i="45"/>
  <c r="K35" i="45"/>
  <c r="H42" i="35"/>
  <c r="H73" i="35"/>
  <c r="I13" i="35"/>
  <c r="H71" i="35"/>
  <c r="H70" i="35"/>
  <c r="H63" i="35"/>
  <c r="N28" i="57" l="1"/>
  <c r="Q34" i="57"/>
  <c r="Q28" i="57"/>
  <c r="M14" i="57"/>
  <c r="M28" i="57" s="1"/>
  <c r="N34" i="57"/>
  <c r="O14" i="57"/>
  <c r="O34" i="57" s="1"/>
  <c r="P34" i="57"/>
  <c r="R18" i="57"/>
  <c r="H38" i="35"/>
  <c r="E25" i="28"/>
  <c r="E27" i="28" s="1"/>
  <c r="I30" i="44"/>
  <c r="I38" i="44"/>
  <c r="I40" i="44"/>
  <c r="G26" i="28"/>
  <c r="J34" i="44"/>
  <c r="J35" i="44"/>
  <c r="J33" i="44"/>
  <c r="J29" i="44"/>
  <c r="J36" i="44"/>
  <c r="J28" i="44"/>
  <c r="J27" i="44"/>
  <c r="J26" i="44"/>
  <c r="J37" i="44"/>
  <c r="J25" i="44"/>
  <c r="J72" i="44"/>
  <c r="F22" i="28"/>
  <c r="G22" i="28"/>
  <c r="F20" i="28"/>
  <c r="G20" i="28"/>
  <c r="F19" i="28"/>
  <c r="G19" i="28"/>
  <c r="I33" i="35"/>
  <c r="I35" i="35"/>
  <c r="I37" i="35"/>
  <c r="I16" i="35"/>
  <c r="I26" i="35"/>
  <c r="I28" i="35"/>
  <c r="I34" i="35"/>
  <c r="I36" i="35"/>
  <c r="I27" i="35"/>
  <c r="I29" i="35"/>
  <c r="I25" i="35"/>
  <c r="I44" i="35"/>
  <c r="H26" i="28" s="1"/>
  <c r="F18" i="28"/>
  <c r="H30" i="35"/>
  <c r="G18" i="28"/>
  <c r="F21" i="28"/>
  <c r="G21" i="28"/>
  <c r="H43" i="35"/>
  <c r="G52" i="28"/>
  <c r="I51" i="50"/>
  <c r="AK51" i="50"/>
  <c r="R51" i="50"/>
  <c r="AH51" i="50"/>
  <c r="AE51" i="50"/>
  <c r="AB51" i="50"/>
  <c r="O51" i="50"/>
  <c r="L51" i="50"/>
  <c r="J48" i="50"/>
  <c r="J49" i="50" s="1"/>
  <c r="K48" i="50"/>
  <c r="K49" i="50" s="1"/>
  <c r="H48" i="50"/>
  <c r="H49" i="50" s="1"/>
  <c r="H52" i="50" s="1"/>
  <c r="H55" i="50" s="1"/>
  <c r="I48" i="50"/>
  <c r="I49" i="50" s="1"/>
  <c r="L48" i="50"/>
  <c r="L49" i="50" s="1"/>
  <c r="M48" i="50"/>
  <c r="M49" i="50" s="1"/>
  <c r="N48" i="50"/>
  <c r="N49" i="50" s="1"/>
  <c r="O48" i="50"/>
  <c r="O49" i="50" s="1"/>
  <c r="P48" i="50"/>
  <c r="P49" i="50" s="1"/>
  <c r="Q48" i="50"/>
  <c r="Q49" i="50" s="1"/>
  <c r="R48" i="50"/>
  <c r="R49" i="50" s="1"/>
  <c r="R52" i="50" s="1"/>
  <c r="R55" i="50" s="1"/>
  <c r="S48" i="50"/>
  <c r="S49" i="50" s="1"/>
  <c r="T48" i="50"/>
  <c r="T49" i="50" s="1"/>
  <c r="U48" i="50"/>
  <c r="U49" i="50" s="1"/>
  <c r="V48" i="50"/>
  <c r="V49" i="50" s="1"/>
  <c r="W48" i="50"/>
  <c r="W49" i="50" s="1"/>
  <c r="X48" i="50"/>
  <c r="X49" i="50" s="1"/>
  <c r="Y48" i="50"/>
  <c r="Y49" i="50" s="1"/>
  <c r="Z48" i="50"/>
  <c r="Z49" i="50" s="1"/>
  <c r="AA48" i="50"/>
  <c r="AA49" i="50" s="1"/>
  <c r="AB48" i="50"/>
  <c r="AB49" i="50" s="1"/>
  <c r="AC48" i="50"/>
  <c r="AC49" i="50" s="1"/>
  <c r="AD48" i="50"/>
  <c r="AD49" i="50" s="1"/>
  <c r="AE48" i="50"/>
  <c r="AE49" i="50" s="1"/>
  <c r="AF48" i="50"/>
  <c r="AF49" i="50" s="1"/>
  <c r="AG48" i="50"/>
  <c r="AG49" i="50" s="1"/>
  <c r="AH48" i="50"/>
  <c r="AH49" i="50" s="1"/>
  <c r="AI48" i="50"/>
  <c r="AI49" i="50" s="1"/>
  <c r="AJ48" i="50"/>
  <c r="AJ49" i="50" s="1"/>
  <c r="AK48" i="50"/>
  <c r="AK49" i="50" s="1"/>
  <c r="AJ51" i="50"/>
  <c r="Y51" i="50"/>
  <c r="W51" i="50"/>
  <c r="T51" i="50"/>
  <c r="AG51" i="50"/>
  <c r="J44" i="44"/>
  <c r="AI51" i="50"/>
  <c r="AD51" i="50"/>
  <c r="AA51" i="50"/>
  <c r="Q51" i="50"/>
  <c r="V51" i="50"/>
  <c r="N51" i="50"/>
  <c r="K51" i="50"/>
  <c r="AF51" i="50"/>
  <c r="AC51" i="50"/>
  <c r="X51" i="50"/>
  <c r="S51" i="50"/>
  <c r="M51" i="50"/>
  <c r="Z51" i="50"/>
  <c r="U51" i="50"/>
  <c r="P51" i="50"/>
  <c r="J51" i="50"/>
  <c r="L37" i="49"/>
  <c r="M35" i="49"/>
  <c r="M36" i="49"/>
  <c r="N33" i="49"/>
  <c r="N70" i="49"/>
  <c r="N59" i="49"/>
  <c r="O39" i="49"/>
  <c r="I60" i="35"/>
  <c r="I63" i="35"/>
  <c r="I73" i="44"/>
  <c r="J68" i="44" s="1"/>
  <c r="J71" i="44" s="1"/>
  <c r="M32" i="45"/>
  <c r="L35" i="45"/>
  <c r="L36" i="45"/>
  <c r="L34" i="45"/>
  <c r="L37" i="45" s="1"/>
  <c r="K37" i="45"/>
  <c r="M71" i="45"/>
  <c r="M60" i="45"/>
  <c r="N39" i="45"/>
  <c r="M85" i="48"/>
  <c r="M74" i="48"/>
  <c r="N37" i="48"/>
  <c r="M63" i="48"/>
  <c r="M64" i="48" s="1"/>
  <c r="O80" i="47"/>
  <c r="O69" i="47"/>
  <c r="O70" i="47" s="1"/>
  <c r="P35" i="47"/>
  <c r="P41" i="47"/>
  <c r="P43" i="47" s="1"/>
  <c r="L83" i="46"/>
  <c r="L72" i="46"/>
  <c r="M35" i="46"/>
  <c r="L61" i="46"/>
  <c r="L62" i="46" s="1"/>
  <c r="J69" i="44"/>
  <c r="J70" i="44"/>
  <c r="J62" i="44"/>
  <c r="J42" i="44"/>
  <c r="J18" i="44"/>
  <c r="K13" i="44"/>
  <c r="J59" i="44"/>
  <c r="I73" i="35"/>
  <c r="J13" i="35"/>
  <c r="I42" i="35"/>
  <c r="I71" i="35"/>
  <c r="I70" i="35"/>
  <c r="M34" i="57" l="1"/>
  <c r="O15" i="57"/>
  <c r="O21" i="57" s="1"/>
  <c r="O28" i="57"/>
  <c r="M15" i="57"/>
  <c r="R14" i="57"/>
  <c r="H21" i="28"/>
  <c r="J38" i="44"/>
  <c r="J30" i="44"/>
  <c r="H19" i="28"/>
  <c r="E51" i="28"/>
  <c r="I38" i="35"/>
  <c r="J40" i="44"/>
  <c r="K35" i="44"/>
  <c r="K34" i="44"/>
  <c r="K37" i="44"/>
  <c r="K33" i="44"/>
  <c r="K29" i="44"/>
  <c r="K28" i="44"/>
  <c r="K16" i="44"/>
  <c r="K27" i="44"/>
  <c r="K36" i="44"/>
  <c r="K26" i="44"/>
  <c r="K25" i="44"/>
  <c r="K72" i="44"/>
  <c r="I30" i="35"/>
  <c r="H18" i="28"/>
  <c r="H22" i="28"/>
  <c r="F25" i="28"/>
  <c r="H20" i="28"/>
  <c r="J33" i="35"/>
  <c r="J35" i="35"/>
  <c r="J37" i="35"/>
  <c r="J16" i="35"/>
  <c r="J26" i="35"/>
  <c r="J28" i="35"/>
  <c r="J25" i="35"/>
  <c r="J27" i="35"/>
  <c r="J34" i="35"/>
  <c r="J36" i="35"/>
  <c r="J29" i="35"/>
  <c r="J44" i="35"/>
  <c r="I26" i="28" s="1"/>
  <c r="G25" i="28"/>
  <c r="I52" i="50"/>
  <c r="I43" i="35"/>
  <c r="H52" i="28"/>
  <c r="J43" i="44"/>
  <c r="K52" i="50"/>
  <c r="AJ52" i="50"/>
  <c r="O52" i="50"/>
  <c r="O55" i="50" s="1"/>
  <c r="AA52" i="50"/>
  <c r="AE52" i="50"/>
  <c r="AE55" i="50" s="1"/>
  <c r="AK52" i="50"/>
  <c r="U52" i="50"/>
  <c r="AB52" i="50"/>
  <c r="AB55" i="50" s="1"/>
  <c r="T52" i="50"/>
  <c r="T55" i="50" s="1"/>
  <c r="L52" i="50"/>
  <c r="L55" i="50" s="1"/>
  <c r="AG52" i="50"/>
  <c r="AG55" i="50" s="1"/>
  <c r="AH52" i="50"/>
  <c r="V52" i="50"/>
  <c r="V55" i="50" s="1"/>
  <c r="AF52" i="50"/>
  <c r="AF55" i="50" s="1"/>
  <c r="X52" i="50"/>
  <c r="X55" i="50" s="1"/>
  <c r="P52" i="50"/>
  <c r="P55" i="50" s="1"/>
  <c r="J52" i="50"/>
  <c r="W52" i="50"/>
  <c r="M52" i="50"/>
  <c r="R54" i="50"/>
  <c r="R56" i="50"/>
  <c r="N52" i="50"/>
  <c r="N55" i="50" s="1"/>
  <c r="AD52" i="50"/>
  <c r="AD55" i="50" s="1"/>
  <c r="Z52" i="50"/>
  <c r="Z55" i="50" s="1"/>
  <c r="AC52" i="50"/>
  <c r="AC55" i="50" s="1"/>
  <c r="AI52" i="50"/>
  <c r="AI55" i="50" s="1"/>
  <c r="K44" i="44"/>
  <c r="Q52" i="50"/>
  <c r="Q55" i="50" s="1"/>
  <c r="S52" i="50"/>
  <c r="S55" i="50" s="1"/>
  <c r="H54" i="50"/>
  <c r="H56" i="50"/>
  <c r="Y52" i="50"/>
  <c r="Y55" i="50" s="1"/>
  <c r="M37" i="49"/>
  <c r="O70" i="49"/>
  <c r="O59" i="49"/>
  <c r="P39" i="49"/>
  <c r="O33" i="49"/>
  <c r="N35" i="49"/>
  <c r="N36" i="49"/>
  <c r="J73" i="44"/>
  <c r="K68" i="44" s="1"/>
  <c r="K71" i="44" s="1"/>
  <c r="J71" i="35"/>
  <c r="J63" i="35"/>
  <c r="N85" i="48"/>
  <c r="N74" i="48"/>
  <c r="N63" i="48"/>
  <c r="N64" i="48" s="1"/>
  <c r="O37" i="48"/>
  <c r="N71" i="45"/>
  <c r="N60" i="45"/>
  <c r="O39" i="45"/>
  <c r="P80" i="47"/>
  <c r="P69" i="47"/>
  <c r="P70" i="47" s="1"/>
  <c r="Q35" i="47"/>
  <c r="Q41" i="47"/>
  <c r="Q43" i="47" s="1"/>
  <c r="M61" i="46"/>
  <c r="M62" i="46" s="1"/>
  <c r="M83" i="46"/>
  <c r="N35" i="46"/>
  <c r="M72" i="46"/>
  <c r="K70" i="44"/>
  <c r="K62" i="44"/>
  <c r="K18" i="44"/>
  <c r="L13" i="44"/>
  <c r="K69" i="44"/>
  <c r="N32" i="45"/>
  <c r="M35" i="45"/>
  <c r="M34" i="45"/>
  <c r="M36" i="45"/>
  <c r="K13" i="35"/>
  <c r="J42" i="35"/>
  <c r="I52" i="28" s="1"/>
  <c r="J70" i="35"/>
  <c r="J73" i="35"/>
  <c r="J60" i="35"/>
  <c r="O16" i="57" l="1"/>
  <c r="O17" i="57" s="1"/>
  <c r="R34" i="57"/>
  <c r="S14" i="57" s="1"/>
  <c r="M16" i="57"/>
  <c r="M17" i="57" s="1"/>
  <c r="M21" i="57"/>
  <c r="I18" i="28"/>
  <c r="K30" i="44"/>
  <c r="AK54" i="50"/>
  <c r="AK55" i="50"/>
  <c r="I54" i="50"/>
  <c r="I55" i="50"/>
  <c r="AH56" i="50"/>
  <c r="AH55" i="50"/>
  <c r="AA54" i="50"/>
  <c r="AA55" i="50"/>
  <c r="M54" i="50"/>
  <c r="M55" i="50"/>
  <c r="W54" i="50"/>
  <c r="W55" i="50"/>
  <c r="AJ56" i="50"/>
  <c r="AJ55" i="50"/>
  <c r="K40" i="44"/>
  <c r="J56" i="50"/>
  <c r="J55" i="50"/>
  <c r="K56" i="50"/>
  <c r="K55" i="50"/>
  <c r="U54" i="50"/>
  <c r="U55" i="50"/>
  <c r="U56" i="50"/>
  <c r="AA56" i="50"/>
  <c r="J40" i="35"/>
  <c r="I56" i="50"/>
  <c r="AK56" i="50"/>
  <c r="J38" i="35"/>
  <c r="AH54" i="50"/>
  <c r="L25" i="44"/>
  <c r="L36" i="44"/>
  <c r="L35" i="44"/>
  <c r="L16" i="44"/>
  <c r="L34" i="44"/>
  <c r="L26" i="44"/>
  <c r="L33" i="44"/>
  <c r="L29" i="44"/>
  <c r="L28" i="44"/>
  <c r="L27" i="44"/>
  <c r="L37" i="44"/>
  <c r="L72" i="44"/>
  <c r="K38" i="44"/>
  <c r="AJ54" i="50"/>
  <c r="K54" i="50"/>
  <c r="I20" i="28"/>
  <c r="F51" i="28"/>
  <c r="F27" i="28"/>
  <c r="I21" i="28"/>
  <c r="G51" i="28"/>
  <c r="G27" i="28"/>
  <c r="I19" i="28"/>
  <c r="H25" i="28"/>
  <c r="K16" i="35"/>
  <c r="J30" i="35"/>
  <c r="I22" i="28"/>
  <c r="O54" i="50"/>
  <c r="O56" i="50"/>
  <c r="J43" i="35"/>
  <c r="V56" i="50"/>
  <c r="V54" i="50"/>
  <c r="X54" i="50"/>
  <c r="AB54" i="50"/>
  <c r="AB56" i="50"/>
  <c r="L54" i="50"/>
  <c r="AE56" i="50"/>
  <c r="AE54" i="50"/>
  <c r="L56" i="50"/>
  <c r="T56" i="50"/>
  <c r="X56" i="50"/>
  <c r="AG54" i="50"/>
  <c r="J54" i="50"/>
  <c r="AG56" i="50"/>
  <c r="P56" i="50"/>
  <c r="AF54" i="50"/>
  <c r="AF56" i="50"/>
  <c r="M56" i="50"/>
  <c r="W56" i="50"/>
  <c r="T54" i="50"/>
  <c r="P54" i="50"/>
  <c r="H57" i="50"/>
  <c r="H61" i="50" s="1"/>
  <c r="R57" i="50"/>
  <c r="Q59" i="50" s="1"/>
  <c r="AI56" i="50"/>
  <c r="AI54" i="50"/>
  <c r="AC54" i="50"/>
  <c r="AC56" i="50"/>
  <c r="Q56" i="50"/>
  <c r="Q54" i="50"/>
  <c r="Z54" i="50"/>
  <c r="Z56" i="50"/>
  <c r="Y56" i="50"/>
  <c r="Y54" i="50"/>
  <c r="L44" i="44"/>
  <c r="AD54" i="50"/>
  <c r="AD56" i="50"/>
  <c r="S56" i="50"/>
  <c r="S54" i="50"/>
  <c r="N56" i="50"/>
  <c r="N54" i="50"/>
  <c r="M37" i="45"/>
  <c r="N37" i="49"/>
  <c r="P59" i="49"/>
  <c r="Q39" i="49"/>
  <c r="P70" i="49"/>
  <c r="O36" i="49"/>
  <c r="O35" i="49"/>
  <c r="P33" i="49"/>
  <c r="K73" i="35"/>
  <c r="K60" i="35"/>
  <c r="L13" i="35"/>
  <c r="K73" i="44"/>
  <c r="L68" i="44" s="1"/>
  <c r="L71" i="44" s="1"/>
  <c r="O85" i="48"/>
  <c r="O74" i="48"/>
  <c r="P37" i="48"/>
  <c r="O63" i="48"/>
  <c r="O64" i="48" s="1"/>
  <c r="O71" i="45"/>
  <c r="O60" i="45"/>
  <c r="P39" i="45"/>
  <c r="N83" i="46"/>
  <c r="O35" i="46"/>
  <c r="N61" i="46"/>
  <c r="N62" i="46" s="1"/>
  <c r="N72" i="46"/>
  <c r="R41" i="47"/>
  <c r="R43" i="47" s="1"/>
  <c r="R35" i="47"/>
  <c r="L62" i="44"/>
  <c r="L70" i="44"/>
  <c r="L59" i="44"/>
  <c r="L69" i="44"/>
  <c r="M13" i="44"/>
  <c r="L18" i="44"/>
  <c r="O32" i="45"/>
  <c r="N35" i="45"/>
  <c r="N36" i="45"/>
  <c r="N34" i="45"/>
  <c r="AK57" i="50" l="1"/>
  <c r="J57" i="50"/>
  <c r="J61" i="50" s="1"/>
  <c r="K57" i="50"/>
  <c r="K61" i="50" s="1"/>
  <c r="S20" i="57"/>
  <c r="S18" i="57"/>
  <c r="AA57" i="50"/>
  <c r="L30" i="44"/>
  <c r="U57" i="50"/>
  <c r="AJ57" i="50"/>
  <c r="O57" i="50"/>
  <c r="O61" i="50" s="1"/>
  <c r="L38" i="44"/>
  <c r="I57" i="50"/>
  <c r="I61" i="50" s="1"/>
  <c r="W57" i="50"/>
  <c r="AH57" i="50"/>
  <c r="I25" i="28"/>
  <c r="I51" i="28" s="1"/>
  <c r="M26" i="44"/>
  <c r="M37" i="44"/>
  <c r="M25" i="44"/>
  <c r="M36" i="44"/>
  <c r="M35" i="44"/>
  <c r="M34" i="44"/>
  <c r="M33" i="44"/>
  <c r="M16" i="44"/>
  <c r="M29" i="44"/>
  <c r="M28" i="44"/>
  <c r="M27" i="44"/>
  <c r="M72" i="44"/>
  <c r="L60" i="35"/>
  <c r="L16" i="35"/>
  <c r="L44" i="35"/>
  <c r="K26" i="28" s="1"/>
  <c r="H51" i="28"/>
  <c r="H27" i="28"/>
  <c r="AD57" i="50"/>
  <c r="AB57" i="50"/>
  <c r="V57" i="50"/>
  <c r="AE57" i="50"/>
  <c r="L57" i="50"/>
  <c r="L61" i="50" s="1"/>
  <c r="AF57" i="50"/>
  <c r="G25" i="50"/>
  <c r="X57" i="50"/>
  <c r="AG57" i="50"/>
  <c r="N57" i="50"/>
  <c r="N61" i="50" s="1"/>
  <c r="G24" i="50"/>
  <c r="S57" i="50"/>
  <c r="Y57" i="50"/>
  <c r="M57" i="50"/>
  <c r="M61" i="50" s="1"/>
  <c r="AC57" i="50"/>
  <c r="AI57" i="50"/>
  <c r="Q57" i="50"/>
  <c r="Q61" i="50" s="1"/>
  <c r="T57" i="50"/>
  <c r="P57" i="50"/>
  <c r="P61" i="50" s="1"/>
  <c r="Z57" i="50"/>
  <c r="M44" i="44"/>
  <c r="N37" i="45"/>
  <c r="R39" i="49"/>
  <c r="P36" i="49"/>
  <c r="Q33" i="49"/>
  <c r="P35" i="49"/>
  <c r="O37" i="49"/>
  <c r="M13" i="35"/>
  <c r="L63" i="35"/>
  <c r="L71" i="35"/>
  <c r="L70" i="35"/>
  <c r="L73" i="35"/>
  <c r="L73" i="44"/>
  <c r="M68" i="44" s="1"/>
  <c r="M71" i="44" s="1"/>
  <c r="R81" i="47"/>
  <c r="R83" i="47"/>
  <c r="R80" i="47"/>
  <c r="R69" i="47"/>
  <c r="R70" i="47" s="1"/>
  <c r="S41" i="47"/>
  <c r="S43" i="47" s="1"/>
  <c r="S35" i="47"/>
  <c r="P63" i="48"/>
  <c r="P64" i="48" s="1"/>
  <c r="P74" i="48"/>
  <c r="Q37" i="48"/>
  <c r="P85" i="48"/>
  <c r="O35" i="45"/>
  <c r="O36" i="45"/>
  <c r="O34" i="45"/>
  <c r="P32" i="45"/>
  <c r="P71" i="45"/>
  <c r="P60" i="45"/>
  <c r="Q39" i="45"/>
  <c r="O83" i="46"/>
  <c r="O72" i="46"/>
  <c r="O61" i="46"/>
  <c r="O62" i="46" s="1"/>
  <c r="P35" i="46"/>
  <c r="M69" i="44"/>
  <c r="M70" i="44"/>
  <c r="M59" i="44"/>
  <c r="N13" i="44"/>
  <c r="M62" i="44"/>
  <c r="M18" i="44"/>
  <c r="M30" i="44" l="1"/>
  <c r="M38" i="44"/>
  <c r="I27" i="28"/>
  <c r="N16" i="44"/>
  <c r="N72" i="44"/>
  <c r="N26" i="44"/>
  <c r="N34" i="44"/>
  <c r="M16" i="35"/>
  <c r="F64" i="50"/>
  <c r="M73" i="35"/>
  <c r="N13" i="35"/>
  <c r="Q35" i="49"/>
  <c r="R33" i="49"/>
  <c r="Q36" i="49"/>
  <c r="P37" i="49"/>
  <c r="R59" i="49"/>
  <c r="S39" i="49"/>
  <c r="R86" i="49"/>
  <c r="R61" i="49"/>
  <c r="R70" i="49"/>
  <c r="R71" i="49"/>
  <c r="R85" i="49"/>
  <c r="M60" i="35"/>
  <c r="M73" i="44"/>
  <c r="N68" i="44" s="1"/>
  <c r="N71" i="44" s="1"/>
  <c r="S83" i="47"/>
  <c r="S67" i="47"/>
  <c r="S69" i="47"/>
  <c r="S70" i="47" s="1"/>
  <c r="S81" i="47"/>
  <c r="T35" i="47"/>
  <c r="S80" i="47"/>
  <c r="T41" i="47"/>
  <c r="T43" i="47" s="1"/>
  <c r="P83" i="46"/>
  <c r="P72" i="46"/>
  <c r="P61" i="46"/>
  <c r="P62" i="46" s="1"/>
  <c r="Q35" i="46"/>
  <c r="R39" i="45"/>
  <c r="P36" i="45"/>
  <c r="P34" i="45"/>
  <c r="Q32" i="45"/>
  <c r="P35" i="45"/>
  <c r="O13" i="44"/>
  <c r="N59" i="44"/>
  <c r="N18" i="44"/>
  <c r="O37" i="45"/>
  <c r="Q85" i="48"/>
  <c r="R37" i="48"/>
  <c r="N73" i="35" l="1"/>
  <c r="O16" i="44"/>
  <c r="O72" i="44"/>
  <c r="O26" i="44"/>
  <c r="O34" i="44"/>
  <c r="N16" i="35"/>
  <c r="O13" i="35"/>
  <c r="N63" i="35"/>
  <c r="N60" i="35"/>
  <c r="N70" i="35"/>
  <c r="O44" i="44"/>
  <c r="Q37" i="49"/>
  <c r="R73" i="49"/>
  <c r="S86" i="49"/>
  <c r="S61" i="49"/>
  <c r="S70" i="49"/>
  <c r="T39" i="49"/>
  <c r="S59" i="49"/>
  <c r="S85" i="49"/>
  <c r="S71" i="49"/>
  <c r="R36" i="49"/>
  <c r="H46" i="49" s="1"/>
  <c r="R35" i="49"/>
  <c r="H45" i="49" s="1"/>
  <c r="Q83" i="46"/>
  <c r="R35" i="46"/>
  <c r="Q36" i="45"/>
  <c r="Q34" i="45"/>
  <c r="R32" i="45"/>
  <c r="Q35" i="45"/>
  <c r="S71" i="47"/>
  <c r="P37" i="45"/>
  <c r="R86" i="45"/>
  <c r="R72" i="45"/>
  <c r="R60" i="45"/>
  <c r="R87" i="45"/>
  <c r="R62" i="45"/>
  <c r="S39" i="45"/>
  <c r="R71" i="45"/>
  <c r="O70" i="44"/>
  <c r="P13" i="44"/>
  <c r="O59" i="44"/>
  <c r="O69" i="44"/>
  <c r="O18" i="44"/>
  <c r="O62" i="44"/>
  <c r="R85" i="48"/>
  <c r="R74" i="48"/>
  <c r="S37" i="48"/>
  <c r="R63" i="48"/>
  <c r="R64" i="48" s="1"/>
  <c r="R77" i="48"/>
  <c r="R75" i="48"/>
  <c r="T80" i="47"/>
  <c r="T81" i="47"/>
  <c r="T67" i="47"/>
  <c r="T83" i="47"/>
  <c r="U41" i="47"/>
  <c r="U43" i="47" s="1"/>
  <c r="U35" i="47"/>
  <c r="T69" i="47"/>
  <c r="T70" i="47" s="1"/>
  <c r="O70" i="35" l="1"/>
  <c r="P13" i="35"/>
  <c r="P71" i="35" s="1"/>
  <c r="O63" i="35"/>
  <c r="O73" i="35"/>
  <c r="O60" i="35"/>
  <c r="O71" i="35"/>
  <c r="P16" i="44"/>
  <c r="P72" i="44"/>
  <c r="P26" i="44"/>
  <c r="P34" i="44"/>
  <c r="O16" i="35"/>
  <c r="O44" i="35"/>
  <c r="N26" i="28" s="1"/>
  <c r="Q37" i="45"/>
  <c r="R37" i="49"/>
  <c r="T70" i="49"/>
  <c r="T85" i="49"/>
  <c r="T71" i="49"/>
  <c r="U39" i="49"/>
  <c r="T59" i="49"/>
  <c r="T61" i="49"/>
  <c r="T86" i="49"/>
  <c r="S73" i="49"/>
  <c r="T71" i="47"/>
  <c r="R74" i="45"/>
  <c r="S85" i="48"/>
  <c r="S74" i="48"/>
  <c r="S63" i="48"/>
  <c r="S64" i="48" s="1"/>
  <c r="S75" i="48"/>
  <c r="S61" i="48"/>
  <c r="S77" i="48"/>
  <c r="T37" i="48"/>
  <c r="U69" i="47"/>
  <c r="U70" i="47" s="1"/>
  <c r="U83" i="47"/>
  <c r="V41" i="47"/>
  <c r="V43" i="47" s="1"/>
  <c r="V35" i="47"/>
  <c r="U80" i="47"/>
  <c r="U67" i="47"/>
  <c r="U81" i="47"/>
  <c r="P59" i="44"/>
  <c r="Q13" i="44"/>
  <c r="P18" i="44"/>
  <c r="S60" i="45"/>
  <c r="S87" i="45"/>
  <c r="S62" i="45"/>
  <c r="T39" i="45"/>
  <c r="S86" i="45"/>
  <c r="S72" i="45"/>
  <c r="S71" i="45"/>
  <c r="R36" i="45"/>
  <c r="H47" i="45" s="1"/>
  <c r="R34" i="45"/>
  <c r="R35" i="45"/>
  <c r="H46" i="45" s="1"/>
  <c r="R73" i="46"/>
  <c r="R75" i="46"/>
  <c r="R61" i="46"/>
  <c r="R62" i="46" s="1"/>
  <c r="R83" i="46"/>
  <c r="S35" i="46"/>
  <c r="R72" i="46"/>
  <c r="P73" i="35"/>
  <c r="Q13" i="35"/>
  <c r="P60" i="35" l="1"/>
  <c r="P70" i="35"/>
  <c r="Q16" i="35"/>
  <c r="P16" i="35"/>
  <c r="Q16" i="44"/>
  <c r="Q72" i="44"/>
  <c r="Q26" i="44"/>
  <c r="Q34" i="44"/>
  <c r="H51" i="49"/>
  <c r="T73" i="49"/>
  <c r="U70" i="49"/>
  <c r="U85" i="49"/>
  <c r="U71" i="49"/>
  <c r="U59" i="49"/>
  <c r="V39" i="49"/>
  <c r="U61" i="49"/>
  <c r="U86" i="49"/>
  <c r="S65" i="48"/>
  <c r="U71" i="47"/>
  <c r="S74" i="45"/>
  <c r="T87" i="45"/>
  <c r="T62" i="45"/>
  <c r="T71" i="45"/>
  <c r="T86" i="45"/>
  <c r="T72" i="45"/>
  <c r="T60" i="45"/>
  <c r="U39" i="45"/>
  <c r="R37" i="45"/>
  <c r="H45" i="45"/>
  <c r="S75" i="46"/>
  <c r="S61" i="46"/>
  <c r="S62" i="46" s="1"/>
  <c r="S59" i="46"/>
  <c r="S83" i="46"/>
  <c r="S73" i="46"/>
  <c r="T35" i="46"/>
  <c r="S72" i="46"/>
  <c r="V67" i="47"/>
  <c r="V80" i="47"/>
  <c r="V81" i="47"/>
  <c r="W41" i="47"/>
  <c r="W43" i="47" s="1"/>
  <c r="V83" i="47"/>
  <c r="W35" i="47"/>
  <c r="V69" i="47"/>
  <c r="V70" i="47" s="1"/>
  <c r="T63" i="48"/>
  <c r="T64" i="48" s="1"/>
  <c r="T75" i="48"/>
  <c r="T77" i="48"/>
  <c r="T61" i="48"/>
  <c r="T85" i="48"/>
  <c r="T74" i="48"/>
  <c r="U37" i="48"/>
  <c r="Q59" i="44"/>
  <c r="Q18" i="44"/>
  <c r="R13" i="44"/>
  <c r="Q60" i="35"/>
  <c r="R13" i="35"/>
  <c r="R16" i="44" l="1"/>
  <c r="R72" i="44"/>
  <c r="R34" i="44"/>
  <c r="R26" i="44"/>
  <c r="R16" i="35"/>
  <c r="R44" i="35"/>
  <c r="R46" i="35"/>
  <c r="R44" i="44"/>
  <c r="R46" i="44"/>
  <c r="U73" i="49"/>
  <c r="V70" i="49"/>
  <c r="V85" i="49"/>
  <c r="V71" i="49"/>
  <c r="V59" i="49"/>
  <c r="W39" i="49"/>
  <c r="V86" i="49"/>
  <c r="V61" i="49"/>
  <c r="T65" i="48"/>
  <c r="S63" i="46"/>
  <c r="V71" i="47"/>
  <c r="R69" i="44"/>
  <c r="R70" i="44"/>
  <c r="R18" i="44"/>
  <c r="R62" i="44"/>
  <c r="R59" i="44"/>
  <c r="S13" i="44"/>
  <c r="T74" i="45"/>
  <c r="U86" i="45"/>
  <c r="U62" i="45"/>
  <c r="U72" i="45"/>
  <c r="U71" i="45"/>
  <c r="U60" i="45"/>
  <c r="U87" i="45"/>
  <c r="V39" i="45"/>
  <c r="H52" i="45"/>
  <c r="T83" i="46"/>
  <c r="T72" i="46"/>
  <c r="T73" i="46"/>
  <c r="U35" i="46"/>
  <c r="T61" i="46"/>
  <c r="T62" i="46" s="1"/>
  <c r="T59" i="46"/>
  <c r="T75" i="46"/>
  <c r="W67" i="47"/>
  <c r="W80" i="47"/>
  <c r="W69" i="47"/>
  <c r="W70" i="47" s="1"/>
  <c r="W83" i="47"/>
  <c r="X35" i="47"/>
  <c r="W81" i="47"/>
  <c r="X41" i="47"/>
  <c r="X43" i="47" s="1"/>
  <c r="U75" i="48"/>
  <c r="U77" i="48"/>
  <c r="U61" i="48"/>
  <c r="U85" i="48"/>
  <c r="U74" i="48"/>
  <c r="V37" i="48"/>
  <c r="U63" i="48"/>
  <c r="U64" i="48" s="1"/>
  <c r="R73" i="35"/>
  <c r="R71" i="35"/>
  <c r="S13" i="35"/>
  <c r="R70" i="35"/>
  <c r="R60" i="35"/>
  <c r="R63" i="35"/>
  <c r="S16" i="44" l="1"/>
  <c r="S72" i="44"/>
  <c r="S26" i="44"/>
  <c r="S34" i="44"/>
  <c r="S16" i="35"/>
  <c r="S44" i="35"/>
  <c r="S46" i="35"/>
  <c r="S44" i="44"/>
  <c r="S46" i="44"/>
  <c r="V73" i="49"/>
  <c r="W70" i="49"/>
  <c r="W85" i="49"/>
  <c r="W71" i="49"/>
  <c r="W59" i="49"/>
  <c r="X39" i="49"/>
  <c r="W86" i="49"/>
  <c r="W61" i="49"/>
  <c r="T63" i="46"/>
  <c r="W71" i="47"/>
  <c r="U61" i="46"/>
  <c r="U62" i="46" s="1"/>
  <c r="U83" i="46"/>
  <c r="U72" i="46"/>
  <c r="U75" i="46"/>
  <c r="U73" i="46"/>
  <c r="U59" i="46"/>
  <c r="V35" i="46"/>
  <c r="S70" i="44"/>
  <c r="S18" i="44"/>
  <c r="S62" i="44"/>
  <c r="S69" i="44"/>
  <c r="T13" i="44"/>
  <c r="S59" i="44"/>
  <c r="V77" i="48"/>
  <c r="V61" i="48"/>
  <c r="V85" i="48"/>
  <c r="V74" i="48"/>
  <c r="W37" i="48"/>
  <c r="V63" i="48"/>
  <c r="V64" i="48" s="1"/>
  <c r="V75" i="48"/>
  <c r="V71" i="45"/>
  <c r="V86" i="45"/>
  <c r="V72" i="45"/>
  <c r="V87" i="45"/>
  <c r="V60" i="45"/>
  <c r="W39" i="45"/>
  <c r="V62" i="45"/>
  <c r="X80" i="47"/>
  <c r="X69" i="47"/>
  <c r="X70" i="47" s="1"/>
  <c r="X81" i="47"/>
  <c r="X83" i="47"/>
  <c r="X67" i="47"/>
  <c r="Y35" i="47"/>
  <c r="Y41" i="47"/>
  <c r="Y43" i="47" s="1"/>
  <c r="U65" i="48"/>
  <c r="U74" i="45"/>
  <c r="S73" i="35"/>
  <c r="S60" i="35"/>
  <c r="T13" i="35"/>
  <c r="S63" i="35"/>
  <c r="S71" i="35"/>
  <c r="S18" i="35"/>
  <c r="S70" i="35"/>
  <c r="T16" i="44" l="1"/>
  <c r="T72" i="44"/>
  <c r="T26" i="44"/>
  <c r="T34" i="44"/>
  <c r="T16" i="35"/>
  <c r="T44" i="35"/>
  <c r="T46" i="35"/>
  <c r="T44" i="44"/>
  <c r="T46" i="44"/>
  <c r="X85" i="49"/>
  <c r="X71" i="49"/>
  <c r="X59" i="49"/>
  <c r="Y39" i="49"/>
  <c r="X86" i="49"/>
  <c r="X61" i="49"/>
  <c r="X70" i="49"/>
  <c r="W73" i="49"/>
  <c r="X71" i="47"/>
  <c r="Y69" i="47"/>
  <c r="Y70" i="47" s="1"/>
  <c r="Y81" i="47"/>
  <c r="Y83" i="47"/>
  <c r="Y80" i="47"/>
  <c r="Y67" i="47"/>
  <c r="Z41" i="47"/>
  <c r="Z43" i="47" s="1"/>
  <c r="Z35" i="47"/>
  <c r="W85" i="48"/>
  <c r="W74" i="48"/>
  <c r="X37" i="48"/>
  <c r="W63" i="48"/>
  <c r="W64" i="48" s="1"/>
  <c r="W75" i="48"/>
  <c r="W77" i="48"/>
  <c r="W61" i="48"/>
  <c r="V74" i="45"/>
  <c r="T59" i="44"/>
  <c r="T18" i="44"/>
  <c r="U13" i="44"/>
  <c r="W71" i="45"/>
  <c r="W60" i="45"/>
  <c r="W87" i="45"/>
  <c r="W72" i="45"/>
  <c r="W86" i="45"/>
  <c r="X39" i="45"/>
  <c r="W62" i="45"/>
  <c r="V65" i="48"/>
  <c r="V83" i="46"/>
  <c r="V73" i="46"/>
  <c r="V72" i="46"/>
  <c r="V61" i="46"/>
  <c r="V62" i="46" s="1"/>
  <c r="V59" i="46"/>
  <c r="W35" i="46"/>
  <c r="V75" i="46"/>
  <c r="U63" i="46"/>
  <c r="T73" i="35"/>
  <c r="T71" i="35"/>
  <c r="T60" i="35"/>
  <c r="T18" i="35"/>
  <c r="T70" i="35"/>
  <c r="U13" i="35"/>
  <c r="T63" i="35"/>
  <c r="U16" i="44" l="1"/>
  <c r="U72" i="44"/>
  <c r="U26" i="44"/>
  <c r="U34" i="44"/>
  <c r="U16" i="35"/>
  <c r="U44" i="35"/>
  <c r="U46" i="35"/>
  <c r="U44" i="44"/>
  <c r="U46" i="44"/>
  <c r="X73" i="49"/>
  <c r="Y85" i="49"/>
  <c r="Y71" i="49"/>
  <c r="Y59" i="49"/>
  <c r="Z39" i="49"/>
  <c r="Y86" i="49"/>
  <c r="Y61" i="49"/>
  <c r="Y70" i="49"/>
  <c r="W65" i="48"/>
  <c r="X71" i="45"/>
  <c r="X86" i="45"/>
  <c r="X72" i="45"/>
  <c r="X87" i="45"/>
  <c r="X62" i="45"/>
  <c r="X60" i="45"/>
  <c r="Y39" i="45"/>
  <c r="Z81" i="47"/>
  <c r="Z83" i="47"/>
  <c r="Z80" i="47"/>
  <c r="Z67" i="47"/>
  <c r="Z69" i="47"/>
  <c r="Z70" i="47" s="1"/>
  <c r="AA41" i="47"/>
  <c r="AA43" i="47" s="1"/>
  <c r="AA35" i="47"/>
  <c r="W83" i="46"/>
  <c r="W72" i="46"/>
  <c r="W75" i="46"/>
  <c r="W59" i="46"/>
  <c r="W73" i="46"/>
  <c r="X35" i="46"/>
  <c r="W61" i="46"/>
  <c r="W62" i="46" s="1"/>
  <c r="U69" i="44"/>
  <c r="U62" i="44"/>
  <c r="V13" i="44"/>
  <c r="U59" i="44"/>
  <c r="U70" i="44"/>
  <c r="U18" i="44"/>
  <c r="Y71" i="47"/>
  <c r="V63" i="46"/>
  <c r="W74" i="45"/>
  <c r="X61" i="48"/>
  <c r="X63" i="48"/>
  <c r="X64" i="48" s="1"/>
  <c r="X75" i="48"/>
  <c r="X77" i="48"/>
  <c r="Y37" i="48"/>
  <c r="X85" i="48"/>
  <c r="X74" i="48"/>
  <c r="U18" i="35"/>
  <c r="U70" i="35"/>
  <c r="V13" i="35"/>
  <c r="U63" i="35"/>
  <c r="U71" i="35"/>
  <c r="U60" i="35"/>
  <c r="V16" i="44" l="1"/>
  <c r="V72" i="44"/>
  <c r="V26" i="44"/>
  <c r="V34" i="44"/>
  <c r="V16" i="35"/>
  <c r="V44" i="35"/>
  <c r="V46" i="35"/>
  <c r="V46" i="44"/>
  <c r="V44" i="44"/>
  <c r="Y73" i="49"/>
  <c r="Z59" i="49"/>
  <c r="AA39" i="49"/>
  <c r="Z86" i="49"/>
  <c r="Z61" i="49"/>
  <c r="Z70" i="49"/>
  <c r="Z85" i="49"/>
  <c r="Z71" i="49"/>
  <c r="W63" i="46"/>
  <c r="Y61" i="48"/>
  <c r="Y85" i="48"/>
  <c r="Y74" i="48"/>
  <c r="Y75" i="48"/>
  <c r="Y77" i="48"/>
  <c r="Y63" i="48"/>
  <c r="Y64" i="48" s="1"/>
  <c r="Z37" i="48"/>
  <c r="Y86" i="45"/>
  <c r="Y72" i="45"/>
  <c r="Y60" i="45"/>
  <c r="Y71" i="45"/>
  <c r="Z39" i="45"/>
  <c r="Y87" i="45"/>
  <c r="Y62" i="45"/>
  <c r="V62" i="44"/>
  <c r="V69" i="44"/>
  <c r="V70" i="44"/>
  <c r="W13" i="44"/>
  <c r="V59" i="44"/>
  <c r="V18" i="44"/>
  <c r="X74" i="45"/>
  <c r="X65" i="48"/>
  <c r="X83" i="46"/>
  <c r="X72" i="46"/>
  <c r="X61" i="46"/>
  <c r="X62" i="46" s="1"/>
  <c r="X75" i="46"/>
  <c r="Y35" i="46"/>
  <c r="X59" i="46"/>
  <c r="X73" i="46"/>
  <c r="AA83" i="47"/>
  <c r="AA67" i="47"/>
  <c r="AA69" i="47"/>
  <c r="AA70" i="47" s="1"/>
  <c r="AA81" i="47"/>
  <c r="AB35" i="47"/>
  <c r="AB41" i="47"/>
  <c r="AB43" i="47" s="1"/>
  <c r="AA80" i="47"/>
  <c r="Z71" i="47"/>
  <c r="V73" i="35"/>
  <c r="V18" i="35"/>
  <c r="V63" i="35"/>
  <c r="V60" i="35"/>
  <c r="W13" i="35"/>
  <c r="V70" i="35"/>
  <c r="V71" i="35"/>
  <c r="W16" i="44" l="1"/>
  <c r="W72" i="44"/>
  <c r="W26" i="44"/>
  <c r="W34" i="44"/>
  <c r="W16" i="35"/>
  <c r="W44" i="35"/>
  <c r="W46" i="35"/>
  <c r="W46" i="44"/>
  <c r="W44" i="44"/>
  <c r="Z73" i="49"/>
  <c r="AA86" i="49"/>
  <c r="AA61" i="49"/>
  <c r="AA70" i="49"/>
  <c r="AA85" i="49"/>
  <c r="AA59" i="49"/>
  <c r="AB39" i="49"/>
  <c r="AA71" i="49"/>
  <c r="AA71" i="47"/>
  <c r="Z61" i="48"/>
  <c r="Z85" i="48"/>
  <c r="Z74" i="48"/>
  <c r="AA37" i="48"/>
  <c r="Z63" i="48"/>
  <c r="Z64" i="48" s="1"/>
  <c r="Z77" i="48"/>
  <c r="Z75" i="48"/>
  <c r="Y74" i="45"/>
  <c r="Z86" i="45"/>
  <c r="Z72" i="45"/>
  <c r="Z60" i="45"/>
  <c r="Z87" i="45"/>
  <c r="Z62" i="45"/>
  <c r="Z71" i="45"/>
  <c r="AA39" i="45"/>
  <c r="W70" i="44"/>
  <c r="W62" i="44"/>
  <c r="X13" i="44"/>
  <c r="W69" i="44"/>
  <c r="W59" i="44"/>
  <c r="W18" i="44"/>
  <c r="AB80" i="47"/>
  <c r="AB81" i="47"/>
  <c r="AB83" i="47"/>
  <c r="AC41" i="47"/>
  <c r="AC43" i="47" s="1"/>
  <c r="AB69" i="47"/>
  <c r="AB70" i="47" s="1"/>
  <c r="AC35" i="47"/>
  <c r="AB67" i="47"/>
  <c r="X63" i="46"/>
  <c r="Y65" i="48"/>
  <c r="Y61" i="46"/>
  <c r="Y62" i="46" s="1"/>
  <c r="Y73" i="46"/>
  <c r="Y72" i="46"/>
  <c r="Y75" i="46"/>
  <c r="Y59" i="46"/>
  <c r="Z35" i="46"/>
  <c r="Y83" i="46"/>
  <c r="W18" i="35"/>
  <c r="W63" i="35"/>
  <c r="W71" i="35"/>
  <c r="X13" i="35"/>
  <c r="W70" i="35"/>
  <c r="W60" i="35"/>
  <c r="X16" i="44" l="1"/>
  <c r="X26" i="44"/>
  <c r="X34" i="44"/>
  <c r="X16" i="35"/>
  <c r="X44" i="35"/>
  <c r="X46" i="35"/>
  <c r="X44" i="44"/>
  <c r="X46" i="44"/>
  <c r="AB70" i="49"/>
  <c r="AB85" i="49"/>
  <c r="AB71" i="49"/>
  <c r="AB86" i="49"/>
  <c r="AB61" i="49"/>
  <c r="AC39" i="49"/>
  <c r="AB59" i="49"/>
  <c r="AA73" i="49"/>
  <c r="AB71" i="47"/>
  <c r="Z65" i="48"/>
  <c r="Y63" i="46"/>
  <c r="Z73" i="46"/>
  <c r="Z75" i="46"/>
  <c r="Z59" i="46"/>
  <c r="AA35" i="46"/>
  <c r="Z61" i="46"/>
  <c r="Z62" i="46" s="1"/>
  <c r="Z72" i="46"/>
  <c r="Z83" i="46"/>
  <c r="AC69" i="47"/>
  <c r="AC70" i="47" s="1"/>
  <c r="AC80" i="47"/>
  <c r="AC67" i="47"/>
  <c r="AC83" i="47"/>
  <c r="AD41" i="47"/>
  <c r="AD43" i="47" s="1"/>
  <c r="AD35" i="47"/>
  <c r="AC81" i="47"/>
  <c r="Z74" i="45"/>
  <c r="AA85" i="48"/>
  <c r="AA74" i="48"/>
  <c r="AA63" i="48"/>
  <c r="AA64" i="48" s="1"/>
  <c r="AA75" i="48"/>
  <c r="AB37" i="48"/>
  <c r="AA77" i="48"/>
  <c r="AA61" i="48"/>
  <c r="X69" i="44"/>
  <c r="X59" i="44"/>
  <c r="X70" i="44"/>
  <c r="Y13" i="44"/>
  <c r="X62" i="44"/>
  <c r="X18" i="44"/>
  <c r="AA60" i="45"/>
  <c r="AA87" i="45"/>
  <c r="AA62" i="45"/>
  <c r="AA71" i="45"/>
  <c r="AA86" i="45"/>
  <c r="AA72" i="45"/>
  <c r="AB39" i="45"/>
  <c r="X70" i="35"/>
  <c r="X18" i="35"/>
  <c r="X63" i="35"/>
  <c r="X60" i="35"/>
  <c r="X71" i="35"/>
  <c r="Y13" i="35"/>
  <c r="Y16" i="44" l="1"/>
  <c r="Y72" i="44"/>
  <c r="Y26" i="44"/>
  <c r="Y34" i="44"/>
  <c r="Y16" i="35"/>
  <c r="Y44" i="35"/>
  <c r="Y46" i="35"/>
  <c r="Y44" i="44"/>
  <c r="Y46" i="44"/>
  <c r="AC70" i="49"/>
  <c r="AC85" i="49"/>
  <c r="AC71" i="49"/>
  <c r="AC59" i="49"/>
  <c r="AD39" i="49"/>
  <c r="AC86" i="49"/>
  <c r="AC61" i="49"/>
  <c r="AB73" i="49"/>
  <c r="AC71" i="47"/>
  <c r="Z63" i="46"/>
  <c r="AA65" i="48"/>
  <c r="AB63" i="48"/>
  <c r="AB64" i="48" s="1"/>
  <c r="AB75" i="48"/>
  <c r="AB77" i="48"/>
  <c r="AC37" i="48"/>
  <c r="AB61" i="48"/>
  <c r="AB85" i="48"/>
  <c r="AB74" i="48"/>
  <c r="AA75" i="46"/>
  <c r="AA59" i="46"/>
  <c r="AB35" i="46"/>
  <c r="AA73" i="46"/>
  <c r="AA72" i="46"/>
  <c r="AA83" i="46"/>
  <c r="AA61" i="46"/>
  <c r="AA62" i="46" s="1"/>
  <c r="AB87" i="45"/>
  <c r="AB62" i="45"/>
  <c r="AB71" i="45"/>
  <c r="AB86" i="45"/>
  <c r="AB72" i="45"/>
  <c r="AB60" i="45"/>
  <c r="AC39" i="45"/>
  <c r="AD67" i="47"/>
  <c r="AD80" i="47"/>
  <c r="AD81" i="47"/>
  <c r="AD69" i="47"/>
  <c r="AD70" i="47" s="1"/>
  <c r="AE41" i="47"/>
  <c r="AE43" i="47" s="1"/>
  <c r="AE35" i="47"/>
  <c r="AD83" i="47"/>
  <c r="AA74" i="45"/>
  <c r="Y69" i="44"/>
  <c r="Y70" i="44"/>
  <c r="Y59" i="44"/>
  <c r="Y18" i="44"/>
  <c r="Z13" i="44"/>
  <c r="Y62" i="44"/>
  <c r="Y73" i="35"/>
  <c r="Y70" i="35"/>
  <c r="Y71" i="35"/>
  <c r="Y60" i="35"/>
  <c r="Z13" i="35"/>
  <c r="Y18" i="35"/>
  <c r="Y63" i="35"/>
  <c r="Z16" i="44" l="1"/>
  <c r="Z26" i="44"/>
  <c r="Z34" i="44"/>
  <c r="Z16" i="35"/>
  <c r="Z44" i="35"/>
  <c r="Z46" i="35"/>
  <c r="Z44" i="44"/>
  <c r="Z46" i="44"/>
  <c r="AD70" i="49"/>
  <c r="AD85" i="49"/>
  <c r="AD71" i="49"/>
  <c r="AD59" i="49"/>
  <c r="AE39" i="49"/>
  <c r="AD86" i="49"/>
  <c r="AD61" i="49"/>
  <c r="AC73" i="49"/>
  <c r="AD71" i="47"/>
  <c r="AB65" i="48"/>
  <c r="AB74" i="45"/>
  <c r="Z69" i="44"/>
  <c r="Z70" i="44"/>
  <c r="Z18" i="44"/>
  <c r="Z62" i="44"/>
  <c r="AA13" i="44"/>
  <c r="Z59" i="44"/>
  <c r="AC86" i="45"/>
  <c r="AC71" i="45"/>
  <c r="AC72" i="45"/>
  <c r="AC87" i="45"/>
  <c r="AC60" i="45"/>
  <c r="AC62" i="45"/>
  <c r="AD39" i="45"/>
  <c r="AE67" i="47"/>
  <c r="AE80" i="47"/>
  <c r="AE69" i="47"/>
  <c r="AE70" i="47" s="1"/>
  <c r="AE83" i="47"/>
  <c r="AE81" i="47"/>
  <c r="AF35" i="47"/>
  <c r="AF41" i="47"/>
  <c r="AF43" i="47" s="1"/>
  <c r="AB83" i="46"/>
  <c r="AB72" i="46"/>
  <c r="AB75" i="46"/>
  <c r="AC35" i="46"/>
  <c r="AB61" i="46"/>
  <c r="AB62" i="46" s="1"/>
  <c r="AB59" i="46"/>
  <c r="AB73" i="46"/>
  <c r="AC75" i="48"/>
  <c r="AC77" i="48"/>
  <c r="AC61" i="48"/>
  <c r="AC85" i="48"/>
  <c r="AC74" i="48"/>
  <c r="AC63" i="48"/>
  <c r="AC64" i="48" s="1"/>
  <c r="AD37" i="48"/>
  <c r="AA63" i="46"/>
  <c r="Z60" i="35"/>
  <c r="Z18" i="35"/>
  <c r="Z71" i="35"/>
  <c r="Z63" i="35"/>
  <c r="AA13" i="35"/>
  <c r="Z70" i="35"/>
  <c r="AA16" i="44" l="1"/>
  <c r="AA26" i="44"/>
  <c r="AA34" i="44"/>
  <c r="AA16" i="35"/>
  <c r="AA44" i="35"/>
  <c r="AA46" i="35"/>
  <c r="AA44" i="44"/>
  <c r="AA46" i="44"/>
  <c r="AD73" i="49"/>
  <c r="AE70" i="49"/>
  <c r="AE85" i="49"/>
  <c r="AE71" i="49"/>
  <c r="AE59" i="49"/>
  <c r="AF39" i="49"/>
  <c r="AE86" i="49"/>
  <c r="AE61" i="49"/>
  <c r="AC65" i="48"/>
  <c r="AF80" i="47"/>
  <c r="AF69" i="47"/>
  <c r="AF70" i="47" s="1"/>
  <c r="AF81" i="47"/>
  <c r="AF67" i="47"/>
  <c r="AF83" i="47"/>
  <c r="AG35" i="47"/>
  <c r="AG41" i="47"/>
  <c r="AG43" i="47" s="1"/>
  <c r="AB63" i="46"/>
  <c r="AA70" i="44"/>
  <c r="AA69" i="44"/>
  <c r="AA18" i="44"/>
  <c r="AA62" i="44"/>
  <c r="AB13" i="44"/>
  <c r="AB75" i="44" s="1"/>
  <c r="AA59" i="44"/>
  <c r="AD71" i="45"/>
  <c r="AD86" i="45"/>
  <c r="AD72" i="45"/>
  <c r="AD87" i="45"/>
  <c r="AD62" i="45"/>
  <c r="AE39" i="45"/>
  <c r="AD60" i="45"/>
  <c r="AC74" i="45"/>
  <c r="AC61" i="46"/>
  <c r="AC62" i="46" s="1"/>
  <c r="AC73" i="46"/>
  <c r="AC83" i="46"/>
  <c r="AC59" i="46"/>
  <c r="AD35" i="46"/>
  <c r="AC75" i="46"/>
  <c r="AC72" i="46"/>
  <c r="AD77" i="48"/>
  <c r="AD61" i="48"/>
  <c r="AE37" i="48"/>
  <c r="AD85" i="48"/>
  <c r="AD74" i="48"/>
  <c r="AD63" i="48"/>
  <c r="AD64" i="48" s="1"/>
  <c r="AD75" i="48"/>
  <c r="AE71" i="47"/>
  <c r="AB13" i="35"/>
  <c r="AB76" i="35" s="1"/>
  <c r="AA70" i="35"/>
  <c r="AA18" i="35"/>
  <c r="AA71" i="35"/>
  <c r="AA60" i="35"/>
  <c r="AA63" i="35"/>
  <c r="AB16" i="44" l="1"/>
  <c r="AB72" i="44"/>
  <c r="AB26" i="44"/>
  <c r="AB34" i="44"/>
  <c r="AB16" i="35"/>
  <c r="AB44" i="35"/>
  <c r="AB46" i="35"/>
  <c r="AB44" i="44"/>
  <c r="AB46" i="44"/>
  <c r="AE73" i="49"/>
  <c r="AF85" i="49"/>
  <c r="AF71" i="49"/>
  <c r="AF59" i="49"/>
  <c r="AG39" i="49"/>
  <c r="AF86" i="49"/>
  <c r="AF61" i="49"/>
  <c r="AF70" i="49"/>
  <c r="AF71" i="47"/>
  <c r="AE85" i="48"/>
  <c r="AE74" i="48"/>
  <c r="AF37" i="48"/>
  <c r="AE63" i="48"/>
  <c r="AE64" i="48" s="1"/>
  <c r="AE75" i="48"/>
  <c r="AE77" i="48"/>
  <c r="AE61" i="48"/>
  <c r="AE71" i="45"/>
  <c r="AE60" i="45"/>
  <c r="AE87" i="45"/>
  <c r="AE72" i="45"/>
  <c r="AE62" i="45"/>
  <c r="AE86" i="45"/>
  <c r="AF39" i="45"/>
  <c r="AD74" i="45"/>
  <c r="AD65" i="48"/>
  <c r="AC63" i="46"/>
  <c r="AB62" i="44"/>
  <c r="AB69" i="44"/>
  <c r="AB70" i="44"/>
  <c r="AB59" i="44"/>
  <c r="AC13" i="44"/>
  <c r="AC75" i="44" s="1"/>
  <c r="AB18" i="44"/>
  <c r="AG69" i="47"/>
  <c r="AG70" i="47" s="1"/>
  <c r="AG81" i="47"/>
  <c r="AG83" i="47"/>
  <c r="AG67" i="47"/>
  <c r="AG80" i="47"/>
  <c r="AH41" i="47"/>
  <c r="AH43" i="47" s="1"/>
  <c r="AH35" i="47"/>
  <c r="AD59" i="46"/>
  <c r="AD83" i="46"/>
  <c r="AD73" i="46"/>
  <c r="AD61" i="46"/>
  <c r="AD62" i="46" s="1"/>
  <c r="AD72" i="46"/>
  <c r="AE35" i="46"/>
  <c r="AD75" i="46"/>
  <c r="AB73" i="35"/>
  <c r="AB60" i="35"/>
  <c r="AB63" i="35"/>
  <c r="AB18" i="35"/>
  <c r="AC13" i="35"/>
  <c r="AC76" i="35" s="1"/>
  <c r="AB71" i="35"/>
  <c r="AB70" i="35"/>
  <c r="AC16" i="44" l="1"/>
  <c r="AC72" i="44"/>
  <c r="AC26" i="44"/>
  <c r="AC34" i="44"/>
  <c r="AC16" i="35"/>
  <c r="AC44" i="35"/>
  <c r="AC46" i="35"/>
  <c r="AC44" i="44"/>
  <c r="AC46" i="44"/>
  <c r="AG85" i="49"/>
  <c r="AG71" i="49"/>
  <c r="AG59" i="49"/>
  <c r="AH39" i="49"/>
  <c r="AG86" i="49"/>
  <c r="AG61" i="49"/>
  <c r="AG70" i="49"/>
  <c r="AF73" i="49"/>
  <c r="AD63" i="46"/>
  <c r="AE65" i="48"/>
  <c r="AE83" i="46"/>
  <c r="AE72" i="46"/>
  <c r="AE75" i="46"/>
  <c r="AE61" i="46"/>
  <c r="AE62" i="46" s="1"/>
  <c r="AE73" i="46"/>
  <c r="AE59" i="46"/>
  <c r="AF35" i="46"/>
  <c r="AC69" i="44"/>
  <c r="AC59" i="44"/>
  <c r="AC62" i="44"/>
  <c r="AD13" i="44"/>
  <c r="AD75" i="44" s="1"/>
  <c r="AC70" i="44"/>
  <c r="AC18" i="44"/>
  <c r="AG71" i="47"/>
  <c r="AF71" i="45"/>
  <c r="AF86" i="45"/>
  <c r="AF72" i="45"/>
  <c r="AF87" i="45"/>
  <c r="AF62" i="45"/>
  <c r="AF60" i="45"/>
  <c r="AG39" i="45"/>
  <c r="AF61" i="48"/>
  <c r="AF63" i="48"/>
  <c r="AF64" i="48" s="1"/>
  <c r="AG37" i="48"/>
  <c r="AF75" i="48"/>
  <c r="AF77" i="48"/>
  <c r="AF74" i="48"/>
  <c r="AF85" i="48"/>
  <c r="AE74" i="45"/>
  <c r="AH81" i="47"/>
  <c r="AH83" i="47"/>
  <c r="AH80" i="47"/>
  <c r="AH69" i="47"/>
  <c r="AH70" i="47" s="1"/>
  <c r="AH67" i="47"/>
  <c r="AI41" i="47"/>
  <c r="AI43" i="47" s="1"/>
  <c r="AI35" i="47"/>
  <c r="AC73" i="35"/>
  <c r="AD13" i="35"/>
  <c r="AD76" i="35" s="1"/>
  <c r="AC18" i="35"/>
  <c r="AC63" i="35"/>
  <c r="AC71" i="35"/>
  <c r="AC70" i="35"/>
  <c r="AC60" i="35"/>
  <c r="AD16" i="44" l="1"/>
  <c r="AD72" i="44"/>
  <c r="AD26" i="44"/>
  <c r="AD34" i="44"/>
  <c r="AD16" i="35"/>
  <c r="AD44" i="35"/>
  <c r="AD46" i="35"/>
  <c r="AD44" i="44"/>
  <c r="AD46" i="44"/>
  <c r="AG73" i="49"/>
  <c r="AH59" i="49"/>
  <c r="AI39" i="49"/>
  <c r="AH86" i="49"/>
  <c r="AH61" i="49"/>
  <c r="AH70" i="49"/>
  <c r="AH85" i="49"/>
  <c r="AH71" i="49"/>
  <c r="AF65" i="48"/>
  <c r="AE63" i="46"/>
  <c r="AD62" i="44"/>
  <c r="AD69" i="44"/>
  <c r="AD70" i="44"/>
  <c r="AE13" i="44"/>
  <c r="AE75" i="44" s="1"/>
  <c r="AD59" i="44"/>
  <c r="AD18" i="44"/>
  <c r="AG61" i="48"/>
  <c r="AG85" i="48"/>
  <c r="AG74" i="48"/>
  <c r="AG75" i="48"/>
  <c r="AH37" i="48"/>
  <c r="AG77" i="48"/>
  <c r="AG63" i="48"/>
  <c r="AG64" i="48" s="1"/>
  <c r="AG86" i="45"/>
  <c r="AG72" i="45"/>
  <c r="AG60" i="45"/>
  <c r="AG62" i="45"/>
  <c r="AG71" i="45"/>
  <c r="AH39" i="45"/>
  <c r="AG87" i="45"/>
  <c r="AF74" i="45"/>
  <c r="AI83" i="47"/>
  <c r="AI67" i="47"/>
  <c r="AI69" i="47"/>
  <c r="AI70" i="47" s="1"/>
  <c r="AI81" i="47"/>
  <c r="AI80" i="47"/>
  <c r="AJ35" i="47"/>
  <c r="AJ41" i="47"/>
  <c r="AJ43" i="47" s="1"/>
  <c r="AH71" i="47"/>
  <c r="AF83" i="46"/>
  <c r="AF72" i="46"/>
  <c r="AF61" i="46"/>
  <c r="AF62" i="46" s="1"/>
  <c r="AF73" i="46"/>
  <c r="AF59" i="46"/>
  <c r="AG35" i="46"/>
  <c r="AF75" i="46"/>
  <c r="AD73" i="35"/>
  <c r="AE13" i="35"/>
  <c r="AE76" i="35" s="1"/>
  <c r="AD18" i="35"/>
  <c r="AD63" i="35"/>
  <c r="AD60" i="35"/>
  <c r="AD71" i="35"/>
  <c r="AD70" i="35"/>
  <c r="AE16" i="44" l="1"/>
  <c r="AE72" i="44"/>
  <c r="AE26" i="44"/>
  <c r="AE34" i="44"/>
  <c r="AE16" i="35"/>
  <c r="AE44" i="35"/>
  <c r="AE46" i="35"/>
  <c r="AE46" i="44"/>
  <c r="AE44" i="44"/>
  <c r="AH73" i="49"/>
  <c r="AI86" i="49"/>
  <c r="AI61" i="49"/>
  <c r="AI70" i="49"/>
  <c r="AI59" i="49"/>
  <c r="AJ39" i="49"/>
  <c r="AI71" i="49"/>
  <c r="AI85" i="49"/>
  <c r="AI71" i="47"/>
  <c r="AF63" i="46"/>
  <c r="AH61" i="48"/>
  <c r="AH85" i="48"/>
  <c r="AH74" i="48"/>
  <c r="AI37" i="48"/>
  <c r="AH63" i="48"/>
  <c r="AH64" i="48" s="1"/>
  <c r="AH77" i="48"/>
  <c r="AH75" i="48"/>
  <c r="AG61" i="46"/>
  <c r="AG62" i="46" s="1"/>
  <c r="AG73" i="46"/>
  <c r="AG75" i="46"/>
  <c r="AG83" i="46"/>
  <c r="AG59" i="46"/>
  <c r="AH35" i="46"/>
  <c r="AG72" i="46"/>
  <c r="AJ80" i="47"/>
  <c r="AJ81" i="47"/>
  <c r="AJ83" i="47"/>
  <c r="AJ67" i="47"/>
  <c r="AK41" i="47"/>
  <c r="AK43" i="47" s="1"/>
  <c r="AJ69" i="47"/>
  <c r="AJ70" i="47" s="1"/>
  <c r="AK35" i="47"/>
  <c r="AH86" i="45"/>
  <c r="AH72" i="45"/>
  <c r="AH60" i="45"/>
  <c r="AH87" i="45"/>
  <c r="AH62" i="45"/>
  <c r="AH71" i="45"/>
  <c r="AI39" i="45"/>
  <c r="AG65" i="48"/>
  <c r="AE70" i="44"/>
  <c r="AF13" i="44"/>
  <c r="AF75" i="44" s="1"/>
  <c r="AE62" i="44"/>
  <c r="AE59" i="44"/>
  <c r="AE18" i="44"/>
  <c r="AE69" i="44"/>
  <c r="AG74" i="45"/>
  <c r="AE73" i="35"/>
  <c r="AE18" i="35"/>
  <c r="AE71" i="35"/>
  <c r="AE70" i="35"/>
  <c r="AE60" i="35"/>
  <c r="AE63" i="35"/>
  <c r="AF13" i="35"/>
  <c r="AF76" i="35" s="1"/>
  <c r="AF16" i="44" l="1"/>
  <c r="AF72" i="44"/>
  <c r="AF26" i="44"/>
  <c r="AF34" i="44"/>
  <c r="AF16" i="35"/>
  <c r="AF44" i="35"/>
  <c r="AF46" i="35"/>
  <c r="AF44" i="44"/>
  <c r="AF46" i="44"/>
  <c r="AI73" i="49"/>
  <c r="AJ70" i="49"/>
  <c r="AJ85" i="49"/>
  <c r="AJ71" i="49"/>
  <c r="AJ59" i="49"/>
  <c r="AJ61" i="49"/>
  <c r="AJ86" i="49"/>
  <c r="AK39" i="49"/>
  <c r="AH65" i="48"/>
  <c r="AG63" i="46"/>
  <c r="AI85" i="48"/>
  <c r="AI74" i="48"/>
  <c r="AI63" i="48"/>
  <c r="AI64" i="48" s="1"/>
  <c r="AI75" i="48"/>
  <c r="AI61" i="48"/>
  <c r="AJ37" i="48"/>
  <c r="AI77" i="48"/>
  <c r="AH74" i="45"/>
  <c r="AJ71" i="47"/>
  <c r="AF69" i="44"/>
  <c r="AF62" i="44"/>
  <c r="AF59" i="44"/>
  <c r="AF70" i="44"/>
  <c r="AG13" i="44"/>
  <c r="AG75" i="44" s="1"/>
  <c r="AF18" i="44"/>
  <c r="AI60" i="45"/>
  <c r="AI87" i="45"/>
  <c r="AI62" i="45"/>
  <c r="AJ39" i="45"/>
  <c r="AI86" i="45"/>
  <c r="AI71" i="45"/>
  <c r="AI72" i="45"/>
  <c r="AK67" i="47"/>
  <c r="AK69" i="47"/>
  <c r="AK70" i="47" s="1"/>
  <c r="AK83" i="47"/>
  <c r="AK80" i="47"/>
  <c r="AK81" i="47"/>
  <c r="AH73" i="46"/>
  <c r="AH75" i="46"/>
  <c r="AH83" i="46"/>
  <c r="AH72" i="46"/>
  <c r="AH59" i="46"/>
  <c r="AI35" i="46"/>
  <c r="AH61" i="46"/>
  <c r="AH62" i="46" s="1"/>
  <c r="AF73" i="35"/>
  <c r="AF71" i="35"/>
  <c r="AF63" i="35"/>
  <c r="AG13" i="35"/>
  <c r="AG76" i="35" s="1"/>
  <c r="AF18" i="35"/>
  <c r="AF70" i="35"/>
  <c r="AF60" i="35"/>
  <c r="AG16" i="44" l="1"/>
  <c r="AG72" i="44"/>
  <c r="AG26" i="44"/>
  <c r="AG34" i="44"/>
  <c r="AG16" i="35"/>
  <c r="AG44" i="35"/>
  <c r="AG46" i="35"/>
  <c r="AG44" i="44"/>
  <c r="AG46" i="44"/>
  <c r="AJ73" i="49"/>
  <c r="AK70" i="49"/>
  <c r="AK85" i="49"/>
  <c r="AK71" i="49"/>
  <c r="AK59" i="49"/>
  <c r="AK86" i="49"/>
  <c r="AK61" i="49"/>
  <c r="AI65" i="48"/>
  <c r="AK71" i="47"/>
  <c r="AI74" i="45"/>
  <c r="AJ63" i="48"/>
  <c r="AJ64" i="48" s="1"/>
  <c r="AJ75" i="48"/>
  <c r="AJ77" i="48"/>
  <c r="AJ61" i="48"/>
  <c r="AJ85" i="48"/>
  <c r="AJ74" i="48"/>
  <c r="AK37" i="48"/>
  <c r="AI75" i="46"/>
  <c r="AI83" i="46"/>
  <c r="AI72" i="46"/>
  <c r="AI59" i="46"/>
  <c r="AJ35" i="46"/>
  <c r="AI61" i="46"/>
  <c r="AI62" i="46" s="1"/>
  <c r="AI73" i="46"/>
  <c r="AH63" i="46"/>
  <c r="AG69" i="44"/>
  <c r="AG70" i="44"/>
  <c r="AG62" i="44"/>
  <c r="AG59" i="44"/>
  <c r="AG18" i="44"/>
  <c r="AH13" i="44"/>
  <c r="AH75" i="44" s="1"/>
  <c r="AJ87" i="45"/>
  <c r="AJ62" i="45"/>
  <c r="AJ71" i="45"/>
  <c r="AJ86" i="45"/>
  <c r="AK39" i="45"/>
  <c r="AJ60" i="45"/>
  <c r="AJ72" i="45"/>
  <c r="AG73" i="35"/>
  <c r="AG18" i="35"/>
  <c r="AG60" i="35"/>
  <c r="AH13" i="35"/>
  <c r="AH76" i="35" s="1"/>
  <c r="AG71" i="35"/>
  <c r="AG63" i="35"/>
  <c r="AG70" i="35"/>
  <c r="AH16" i="44" l="1"/>
  <c r="AH72" i="44"/>
  <c r="AH26" i="44"/>
  <c r="AH34" i="44"/>
  <c r="AH16" i="35"/>
  <c r="AH44" i="35"/>
  <c r="AH46" i="35"/>
  <c r="AH44" i="44"/>
  <c r="AH46" i="44"/>
  <c r="AK73" i="49"/>
  <c r="AK86" i="45"/>
  <c r="AK87" i="45"/>
  <c r="AK62" i="45"/>
  <c r="AK72" i="45"/>
  <c r="AK60" i="45"/>
  <c r="AK71" i="45"/>
  <c r="AH69" i="44"/>
  <c r="AH70" i="44"/>
  <c r="AH18" i="44"/>
  <c r="AH59" i="44"/>
  <c r="AH62" i="44"/>
  <c r="AI13" i="44"/>
  <c r="AI75" i="44" s="1"/>
  <c r="AK75" i="48"/>
  <c r="AK77" i="48"/>
  <c r="AK61" i="48"/>
  <c r="AK85" i="48"/>
  <c r="AK74" i="48"/>
  <c r="AK63" i="48"/>
  <c r="AK64" i="48" s="1"/>
  <c r="AJ83" i="46"/>
  <c r="AJ72" i="46"/>
  <c r="AJ59" i="46"/>
  <c r="AK35" i="46"/>
  <c r="AJ75" i="46"/>
  <c r="AJ61" i="46"/>
  <c r="AJ62" i="46" s="1"/>
  <c r="AJ73" i="46"/>
  <c r="AI63" i="46"/>
  <c r="AJ65" i="48"/>
  <c r="AJ74" i="45"/>
  <c r="AH73" i="35"/>
  <c r="AH60" i="35"/>
  <c r="AI13" i="35"/>
  <c r="AI76" i="35" s="1"/>
  <c r="AH63" i="35"/>
  <c r="AH70" i="35"/>
  <c r="AH71" i="35"/>
  <c r="AH18" i="35"/>
  <c r="AI16" i="44" l="1"/>
  <c r="AI72" i="44"/>
  <c r="AI26" i="44"/>
  <c r="AI34" i="44"/>
  <c r="AI16" i="35"/>
  <c r="AI46" i="35"/>
  <c r="AI44" i="35"/>
  <c r="AI44" i="44"/>
  <c r="AI46" i="44"/>
  <c r="AK65" i="48"/>
  <c r="AJ63" i="46"/>
  <c r="AK74" i="45"/>
  <c r="AK61" i="46"/>
  <c r="AK62" i="46" s="1"/>
  <c r="AK83" i="46"/>
  <c r="AK72" i="46"/>
  <c r="AK75" i="46"/>
  <c r="AK73" i="46"/>
  <c r="AK59" i="46"/>
  <c r="AI70" i="44"/>
  <c r="AI59" i="44"/>
  <c r="AI18" i="44"/>
  <c r="AJ13" i="44"/>
  <c r="AJ75" i="44" s="1"/>
  <c r="AI69" i="44"/>
  <c r="AI62" i="44"/>
  <c r="AI73" i="35"/>
  <c r="AJ13" i="35"/>
  <c r="AJ76" i="35" s="1"/>
  <c r="AI63" i="35"/>
  <c r="AI70" i="35"/>
  <c r="AI71" i="35"/>
  <c r="AI18" i="35"/>
  <c r="AI60" i="35"/>
  <c r="AJ16" i="44" l="1"/>
  <c r="AJ72" i="44"/>
  <c r="AJ26" i="44"/>
  <c r="AJ34" i="44"/>
  <c r="AJ16" i="35"/>
  <c r="AJ44" i="35"/>
  <c r="AJ46" i="35"/>
  <c r="AJ44" i="44"/>
  <c r="AJ46" i="44"/>
  <c r="AJ62" i="44"/>
  <c r="AJ42" i="44"/>
  <c r="AJ43" i="44" s="1"/>
  <c r="AJ70" i="44"/>
  <c r="AJ69" i="44"/>
  <c r="AJ18" i="44"/>
  <c r="AJ59" i="44"/>
  <c r="AK63" i="46"/>
  <c r="AJ73" i="35"/>
  <c r="AJ18" i="35"/>
  <c r="AJ63" i="35"/>
  <c r="AJ71" i="35"/>
  <c r="AJ70" i="35"/>
  <c r="AJ60" i="35"/>
  <c r="AJ42" i="35"/>
  <c r="AJ43" i="35" s="1"/>
  <c r="D16" i="44" l="1"/>
  <c r="B35" i="35"/>
  <c r="B36" i="35"/>
  <c r="B37" i="35"/>
  <c r="B33" i="35"/>
  <c r="H29" i="37" l="1"/>
  <c r="H30" i="37"/>
  <c r="H31" i="37"/>
  <c r="H27" i="37"/>
  <c r="R89" i="42"/>
  <c r="Q89" i="42"/>
  <c r="P89" i="42"/>
  <c r="O89" i="42"/>
  <c r="N89" i="42"/>
  <c r="M89" i="42"/>
  <c r="L89" i="42"/>
  <c r="K89" i="42"/>
  <c r="J89" i="42"/>
  <c r="I89" i="42"/>
  <c r="H89" i="42"/>
  <c r="C52" i="42"/>
  <c r="C50" i="42"/>
  <c r="C49" i="42"/>
  <c r="C48" i="42"/>
  <c r="R38" i="42"/>
  <c r="Q38" i="42"/>
  <c r="P38" i="42"/>
  <c r="O38" i="42"/>
  <c r="N38" i="42"/>
  <c r="M38" i="42"/>
  <c r="L38" i="42"/>
  <c r="K38" i="42"/>
  <c r="J38" i="42"/>
  <c r="I38" i="42"/>
  <c r="H38" i="42"/>
  <c r="H37" i="42"/>
  <c r="I37" i="42" s="1"/>
  <c r="H85" i="42" l="1"/>
  <c r="H63" i="42"/>
  <c r="H64" i="42" s="1"/>
  <c r="H74" i="42"/>
  <c r="I74" i="42"/>
  <c r="I63" i="42"/>
  <c r="I64" i="42" s="1"/>
  <c r="J37" i="42"/>
  <c r="I85" i="42"/>
  <c r="J85" i="42" l="1"/>
  <c r="K37" i="42"/>
  <c r="J74" i="42"/>
  <c r="J63" i="42"/>
  <c r="J64" i="42" s="1"/>
  <c r="L37" i="42" l="1"/>
  <c r="K74" i="42"/>
  <c r="K63" i="42"/>
  <c r="K64" i="42" s="1"/>
  <c r="K85" i="42"/>
  <c r="M37" i="42" l="1"/>
  <c r="L74" i="42"/>
  <c r="L63" i="42"/>
  <c r="L64" i="42" s="1"/>
  <c r="L85" i="42"/>
  <c r="M85" i="42" l="1"/>
  <c r="M74" i="42"/>
  <c r="M63" i="42"/>
  <c r="M64" i="42" s="1"/>
  <c r="N37" i="42"/>
  <c r="N74" i="42" l="1"/>
  <c r="N63" i="42"/>
  <c r="N64" i="42" s="1"/>
  <c r="N85" i="42"/>
  <c r="O37" i="42"/>
  <c r="O74" i="42" l="1"/>
  <c r="O85" i="42"/>
  <c r="O63" i="42"/>
  <c r="O64" i="42" s="1"/>
  <c r="P37" i="42"/>
  <c r="P63" i="42" l="1"/>
  <c r="P64" i="42" s="1"/>
  <c r="P74" i="42"/>
  <c r="P85" i="42"/>
  <c r="Q37" i="42"/>
  <c r="Q85" i="42" l="1"/>
  <c r="R37" i="42"/>
  <c r="S37" i="42" s="1"/>
  <c r="T37" i="42" l="1"/>
  <c r="S75" i="42"/>
  <c r="S77" i="42"/>
  <c r="S85" i="42"/>
  <c r="S61" i="42"/>
  <c r="S63" i="42"/>
  <c r="S64" i="42" s="1"/>
  <c r="S74" i="42"/>
  <c r="R85" i="42"/>
  <c r="R77" i="42"/>
  <c r="R75" i="42"/>
  <c r="R74" i="42"/>
  <c r="R63" i="42"/>
  <c r="R64" i="42" s="1"/>
  <c r="S65" i="42" l="1"/>
  <c r="T75" i="42"/>
  <c r="T61" i="42"/>
  <c r="T85" i="42"/>
  <c r="T74" i="42"/>
  <c r="U37" i="42"/>
  <c r="T77" i="42"/>
  <c r="T63" i="42"/>
  <c r="T64" i="42" s="1"/>
  <c r="H35" i="41"/>
  <c r="I36" i="41"/>
  <c r="J36" i="41"/>
  <c r="K36" i="41"/>
  <c r="L36" i="41"/>
  <c r="M36" i="41"/>
  <c r="N36" i="41"/>
  <c r="O36" i="41"/>
  <c r="P36" i="41"/>
  <c r="Q36" i="41"/>
  <c r="R36" i="41"/>
  <c r="H36" i="41"/>
  <c r="H29" i="41"/>
  <c r="H74" i="41" s="1"/>
  <c r="U63" i="42" l="1"/>
  <c r="U64" i="42" s="1"/>
  <c r="V37" i="42"/>
  <c r="U85" i="42"/>
  <c r="U77" i="42"/>
  <c r="U61" i="42"/>
  <c r="U75" i="42"/>
  <c r="U74" i="42"/>
  <c r="T65" i="42"/>
  <c r="I35" i="41"/>
  <c r="I37" i="41" s="1"/>
  <c r="H37" i="41"/>
  <c r="I29" i="41"/>
  <c r="J35" i="41" s="1"/>
  <c r="J37" i="41" s="1"/>
  <c r="H63" i="41"/>
  <c r="H64" i="41" s="1"/>
  <c r="U65" i="42" l="1"/>
  <c r="V74" i="42"/>
  <c r="V61" i="42"/>
  <c r="V85" i="42"/>
  <c r="V63" i="42"/>
  <c r="V64" i="42" s="1"/>
  <c r="V77" i="42"/>
  <c r="V75" i="42"/>
  <c r="W37" i="42"/>
  <c r="I74" i="41"/>
  <c r="I63" i="41"/>
  <c r="I64" i="41" s="1"/>
  <c r="J29" i="41"/>
  <c r="K35" i="41" s="1"/>
  <c r="K37" i="41" s="1"/>
  <c r="V65" i="42" l="1"/>
  <c r="X37" i="42"/>
  <c r="W75" i="42"/>
  <c r="W74" i="42"/>
  <c r="W63" i="42"/>
  <c r="W64" i="42" s="1"/>
  <c r="W61" i="42"/>
  <c r="W85" i="42"/>
  <c r="W77" i="42"/>
  <c r="K29" i="41"/>
  <c r="L35" i="41" s="1"/>
  <c r="L37" i="41" s="1"/>
  <c r="J74" i="41"/>
  <c r="J63" i="41"/>
  <c r="J64" i="41" s="1"/>
  <c r="W65" i="42" l="1"/>
  <c r="X75" i="42"/>
  <c r="X77" i="42"/>
  <c r="X85" i="42"/>
  <c r="Y37" i="42"/>
  <c r="X63" i="42"/>
  <c r="X64" i="42" s="1"/>
  <c r="X61" i="42"/>
  <c r="X74" i="42"/>
  <c r="L29" i="41"/>
  <c r="M35" i="41" s="1"/>
  <c r="M37" i="41" s="1"/>
  <c r="K74" i="41"/>
  <c r="K63" i="41"/>
  <c r="K64" i="41" s="1"/>
  <c r="X65" i="42" l="1"/>
  <c r="Y85" i="42"/>
  <c r="Y75" i="42"/>
  <c r="Y77" i="42"/>
  <c r="Z37" i="42"/>
  <c r="Y63" i="42"/>
  <c r="Y64" i="42" s="1"/>
  <c r="Y74" i="42"/>
  <c r="Y61" i="42"/>
  <c r="M29" i="41"/>
  <c r="N35" i="41" s="1"/>
  <c r="N37" i="41" s="1"/>
  <c r="L74" i="41"/>
  <c r="L63" i="41"/>
  <c r="L64" i="41" s="1"/>
  <c r="Y65" i="42" l="1"/>
  <c r="AA37" i="42"/>
  <c r="Z85" i="42"/>
  <c r="Z75" i="42"/>
  <c r="Z74" i="42"/>
  <c r="Z63" i="42"/>
  <c r="Z64" i="42" s="1"/>
  <c r="Z61" i="42"/>
  <c r="Z77" i="42"/>
  <c r="M74" i="41"/>
  <c r="M63" i="41"/>
  <c r="M64" i="41" s="1"/>
  <c r="N29" i="41"/>
  <c r="O35" i="41" s="1"/>
  <c r="O37" i="41" s="1"/>
  <c r="Z65" i="42" l="1"/>
  <c r="AA61" i="42"/>
  <c r="AA77" i="42"/>
  <c r="AA63" i="42"/>
  <c r="AA64" i="42" s="1"/>
  <c r="AA85" i="42"/>
  <c r="AA75" i="42"/>
  <c r="AB37" i="42"/>
  <c r="AA74" i="42"/>
  <c r="N74" i="41"/>
  <c r="N63" i="41"/>
  <c r="N64" i="41" s="1"/>
  <c r="O29" i="41"/>
  <c r="P35" i="41" s="1"/>
  <c r="P37" i="41" s="1"/>
  <c r="AB85" i="42" l="1"/>
  <c r="AC37" i="42"/>
  <c r="AB63" i="42"/>
  <c r="AB64" i="42" s="1"/>
  <c r="AB77" i="42"/>
  <c r="AB61" i="42"/>
  <c r="AB75" i="42"/>
  <c r="AB74" i="42"/>
  <c r="AA65" i="42"/>
  <c r="O63" i="41"/>
  <c r="O64" i="41" s="1"/>
  <c r="O74" i="41"/>
  <c r="P29" i="41"/>
  <c r="Q35" i="41" s="1"/>
  <c r="Q37" i="41" s="1"/>
  <c r="AB65" i="42" l="1"/>
  <c r="AC85" i="42"/>
  <c r="AC63" i="42"/>
  <c r="AC64" i="42" s="1"/>
  <c r="AC61" i="42"/>
  <c r="AC77" i="42"/>
  <c r="AC75" i="42"/>
  <c r="AD37" i="42"/>
  <c r="AC74" i="42"/>
  <c r="P74" i="41"/>
  <c r="P63" i="41"/>
  <c r="P64" i="41" s="1"/>
  <c r="Q29" i="41"/>
  <c r="R35" i="41" s="1"/>
  <c r="R37" i="41" s="1"/>
  <c r="AC65" i="42" l="1"/>
  <c r="AD77" i="42"/>
  <c r="AD75" i="42"/>
  <c r="AE37" i="42"/>
  <c r="AD74" i="42"/>
  <c r="AD61" i="42"/>
  <c r="AD85" i="42"/>
  <c r="AD63" i="42"/>
  <c r="AD64" i="42" s="1"/>
  <c r="R29" i="41"/>
  <c r="S35" i="41" l="1"/>
  <c r="S37" i="41" s="1"/>
  <c r="S29" i="41"/>
  <c r="AD65" i="42"/>
  <c r="AE61" i="42"/>
  <c r="AE85" i="42"/>
  <c r="AE74" i="42"/>
  <c r="AE75" i="42"/>
  <c r="AF37" i="42"/>
  <c r="AE63" i="42"/>
  <c r="AE64" i="42" s="1"/>
  <c r="AE77" i="42"/>
  <c r="R77" i="41"/>
  <c r="R75" i="41"/>
  <c r="R74" i="41"/>
  <c r="R63" i="41"/>
  <c r="R64" i="41" s="1"/>
  <c r="T29" i="41" l="1"/>
  <c r="S75" i="41"/>
  <c r="T35" i="41"/>
  <c r="T37" i="41" s="1"/>
  <c r="S77" i="41"/>
  <c r="S61" i="41"/>
  <c r="S74" i="41"/>
  <c r="S63" i="41"/>
  <c r="S64" i="41" s="1"/>
  <c r="AF74" i="42"/>
  <c r="AF77" i="42"/>
  <c r="AF63" i="42"/>
  <c r="AF64" i="42" s="1"/>
  <c r="AF85" i="42"/>
  <c r="AF75" i="42"/>
  <c r="AF61" i="42"/>
  <c r="AG37" i="42"/>
  <c r="AE65" i="42"/>
  <c r="R87" i="40"/>
  <c r="Q87" i="40"/>
  <c r="P87" i="40"/>
  <c r="O87" i="40"/>
  <c r="N87" i="40"/>
  <c r="M87" i="40"/>
  <c r="L87" i="40"/>
  <c r="K87" i="40"/>
  <c r="J87" i="40"/>
  <c r="I87" i="40"/>
  <c r="H87" i="40"/>
  <c r="C50" i="40"/>
  <c r="C48" i="40"/>
  <c r="C47" i="40"/>
  <c r="C46" i="40"/>
  <c r="R36" i="40"/>
  <c r="Q36" i="40"/>
  <c r="P36" i="40"/>
  <c r="O36" i="40"/>
  <c r="N36" i="40"/>
  <c r="M36" i="40"/>
  <c r="L36" i="40"/>
  <c r="K36" i="40"/>
  <c r="J36" i="40"/>
  <c r="I36" i="40"/>
  <c r="H36" i="40"/>
  <c r="H35" i="40"/>
  <c r="I35" i="40" s="1"/>
  <c r="S65" i="41" l="1"/>
  <c r="T75" i="41"/>
  <c r="U29" i="41"/>
  <c r="T77" i="41"/>
  <c r="T74" i="41"/>
  <c r="U35" i="41"/>
  <c r="U37" i="41" s="1"/>
  <c r="T61" i="41"/>
  <c r="T63" i="41"/>
  <c r="T64" i="41" s="1"/>
  <c r="AG75" i="42"/>
  <c r="AG63" i="42"/>
  <c r="AG64" i="42" s="1"/>
  <c r="AG74" i="42"/>
  <c r="AH37" i="42"/>
  <c r="AG61" i="42"/>
  <c r="AG85" i="42"/>
  <c r="AG77" i="42"/>
  <c r="AF65" i="42"/>
  <c r="I72" i="40"/>
  <c r="I61" i="40"/>
  <c r="I62" i="40" s="1"/>
  <c r="I83" i="40"/>
  <c r="J35" i="40"/>
  <c r="H83" i="40"/>
  <c r="H61" i="40"/>
  <c r="H62" i="40" s="1"/>
  <c r="H72" i="40"/>
  <c r="T65" i="41" l="1"/>
  <c r="U63" i="41"/>
  <c r="U64" i="41" s="1"/>
  <c r="U77" i="41"/>
  <c r="V29" i="41"/>
  <c r="U61" i="41"/>
  <c r="U74" i="41"/>
  <c r="U75" i="41"/>
  <c r="V35" i="41"/>
  <c r="V37" i="41" s="1"/>
  <c r="AG65" i="42"/>
  <c r="AH63" i="42"/>
  <c r="AH64" i="42" s="1"/>
  <c r="AI37" i="42"/>
  <c r="AH77" i="42"/>
  <c r="AH75" i="42"/>
  <c r="AH61" i="42"/>
  <c r="AH74" i="42"/>
  <c r="AH85" i="42"/>
  <c r="J83" i="40"/>
  <c r="J72" i="40"/>
  <c r="J61" i="40"/>
  <c r="J62" i="40" s="1"/>
  <c r="K35" i="40"/>
  <c r="U65" i="41" l="1"/>
  <c r="V61" i="41"/>
  <c r="V77" i="41"/>
  <c r="V63" i="41"/>
  <c r="V64" i="41" s="1"/>
  <c r="W35" i="41"/>
  <c r="W37" i="41" s="1"/>
  <c r="W29" i="41"/>
  <c r="V74" i="41"/>
  <c r="V75" i="41"/>
  <c r="AH65" i="42"/>
  <c r="AI74" i="42"/>
  <c r="AI63" i="42"/>
  <c r="AI64" i="42" s="1"/>
  <c r="AI77" i="42"/>
  <c r="AI85" i="42"/>
  <c r="AI75" i="42"/>
  <c r="AJ37" i="42"/>
  <c r="AI61" i="42"/>
  <c r="K83" i="40"/>
  <c r="L35" i="40"/>
  <c r="K72" i="40"/>
  <c r="K61" i="40"/>
  <c r="K62" i="40" s="1"/>
  <c r="W61" i="41" l="1"/>
  <c r="X29" i="41"/>
  <c r="W74" i="41"/>
  <c r="W63" i="41"/>
  <c r="W64" i="41" s="1"/>
  <c r="W77" i="41"/>
  <c r="X35" i="41"/>
  <c r="X37" i="41" s="1"/>
  <c r="W75" i="41"/>
  <c r="V65" i="41"/>
  <c r="AI65" i="42"/>
  <c r="AJ63" i="42"/>
  <c r="AJ64" i="42" s="1"/>
  <c r="AJ85" i="42"/>
  <c r="AJ74" i="42"/>
  <c r="AJ77" i="42"/>
  <c r="AJ61" i="42"/>
  <c r="AJ75" i="42"/>
  <c r="AK37" i="42"/>
  <c r="M35" i="40"/>
  <c r="L72" i="40"/>
  <c r="L61" i="40"/>
  <c r="L62" i="40" s="1"/>
  <c r="L83" i="40"/>
  <c r="X61" i="41" l="1"/>
  <c r="X75" i="41"/>
  <c r="Y35" i="41"/>
  <c r="Y37" i="41" s="1"/>
  <c r="Y29" i="41"/>
  <c r="X63" i="41"/>
  <c r="X64" i="41" s="1"/>
  <c r="X74" i="41"/>
  <c r="X77" i="41"/>
  <c r="W65" i="41"/>
  <c r="AJ65" i="42"/>
  <c r="AK61" i="42"/>
  <c r="AK75" i="42"/>
  <c r="AK74" i="42"/>
  <c r="AK85" i="42"/>
  <c r="AK77" i="42"/>
  <c r="AK63" i="42"/>
  <c r="AK64" i="42" s="1"/>
  <c r="N35" i="40"/>
  <c r="M72" i="40"/>
  <c r="M61" i="40"/>
  <c r="M62" i="40" s="1"/>
  <c r="M83" i="40"/>
  <c r="Z29" i="41" l="1"/>
  <c r="Y77" i="41"/>
  <c r="Y74" i="41"/>
  <c r="Y75" i="41"/>
  <c r="Z35" i="41"/>
  <c r="Z37" i="41" s="1"/>
  <c r="Y61" i="41"/>
  <c r="Y63" i="41"/>
  <c r="Y64" i="41" s="1"/>
  <c r="X65" i="41"/>
  <c r="AK65" i="42"/>
  <c r="O35" i="40"/>
  <c r="N72" i="40"/>
  <c r="N61" i="40"/>
  <c r="N62" i="40" s="1"/>
  <c r="N83" i="40"/>
  <c r="Y65" i="41" l="1"/>
  <c r="AA29" i="41"/>
  <c r="Z77" i="41"/>
  <c r="Z74" i="41"/>
  <c r="Z61" i="41"/>
  <c r="Z75" i="41"/>
  <c r="Z63" i="41"/>
  <c r="Z64" i="41" s="1"/>
  <c r="AA35" i="41"/>
  <c r="AA37" i="41" s="1"/>
  <c r="P35" i="40"/>
  <c r="O72" i="40"/>
  <c r="O61" i="40"/>
  <c r="O62" i="40" s="1"/>
  <c r="O83" i="40"/>
  <c r="AA74" i="41" l="1"/>
  <c r="AB35" i="41"/>
  <c r="AB37" i="41" s="1"/>
  <c r="AA61" i="41"/>
  <c r="AA75" i="41"/>
  <c r="AA77" i="41"/>
  <c r="AA63" i="41"/>
  <c r="AA64" i="41" s="1"/>
  <c r="AB29" i="41"/>
  <c r="Z65" i="41"/>
  <c r="Q35" i="40"/>
  <c r="P72" i="40"/>
  <c r="P61" i="40"/>
  <c r="P62" i="40" s="1"/>
  <c r="P83" i="40"/>
  <c r="AB61" i="41" l="1"/>
  <c r="AB75" i="41"/>
  <c r="AB77" i="41"/>
  <c r="AC35" i="41"/>
  <c r="AC37" i="41" s="1"/>
  <c r="AB74" i="41"/>
  <c r="AB63" i="41"/>
  <c r="AB64" i="41" s="1"/>
  <c r="AC29" i="41"/>
  <c r="AA65" i="41"/>
  <c r="Q83" i="40"/>
  <c r="R35" i="40"/>
  <c r="AD35" i="41" l="1"/>
  <c r="AD37" i="41" s="1"/>
  <c r="AC61" i="41"/>
  <c r="AC77" i="41"/>
  <c r="AC63" i="41"/>
  <c r="AC64" i="41" s="1"/>
  <c r="AD29" i="41"/>
  <c r="AC75" i="41"/>
  <c r="AC74" i="41"/>
  <c r="AB65" i="41"/>
  <c r="R73" i="40"/>
  <c r="S35" i="40"/>
  <c r="R83" i="40"/>
  <c r="R75" i="40"/>
  <c r="R61" i="40"/>
  <c r="R62" i="40" s="1"/>
  <c r="R72" i="40"/>
  <c r="AC65" i="41" l="1"/>
  <c r="AD75" i="41"/>
  <c r="AD63" i="41"/>
  <c r="AD64" i="41" s="1"/>
  <c r="AD61" i="41"/>
  <c r="AE35" i="41"/>
  <c r="AE37" i="41" s="1"/>
  <c r="AD74" i="41"/>
  <c r="AD77" i="41"/>
  <c r="AE29" i="41"/>
  <c r="T35" i="40"/>
  <c r="S61" i="40"/>
  <c r="S62" i="40" s="1"/>
  <c r="S83" i="40"/>
  <c r="S75" i="40"/>
  <c r="S72" i="40"/>
  <c r="S73" i="40"/>
  <c r="S59" i="40"/>
  <c r="B80" i="39"/>
  <c r="B78" i="39"/>
  <c r="B77" i="39"/>
  <c r="B76" i="39"/>
  <c r="R40" i="39"/>
  <c r="Q40" i="39"/>
  <c r="P40" i="39"/>
  <c r="O40" i="39"/>
  <c r="N40" i="39"/>
  <c r="M40" i="39"/>
  <c r="L40" i="39"/>
  <c r="K40" i="39"/>
  <c r="J40" i="39"/>
  <c r="I40" i="39"/>
  <c r="H40" i="39"/>
  <c r="H39" i="39"/>
  <c r="G32" i="39"/>
  <c r="G35" i="39" s="1"/>
  <c r="AD65" i="41" l="1"/>
  <c r="AE61" i="41"/>
  <c r="AE74" i="41"/>
  <c r="AE75" i="41"/>
  <c r="AE63" i="41"/>
  <c r="AE64" i="41" s="1"/>
  <c r="AF35" i="41"/>
  <c r="AF37" i="41" s="1"/>
  <c r="AF29" i="41"/>
  <c r="AE77" i="41"/>
  <c r="S63" i="40"/>
  <c r="U35" i="40"/>
  <c r="T59" i="40"/>
  <c r="T75" i="40"/>
  <c r="T61" i="40"/>
  <c r="T62" i="40" s="1"/>
  <c r="T83" i="40"/>
  <c r="T72" i="40"/>
  <c r="T73" i="40"/>
  <c r="G34" i="39"/>
  <c r="G36" i="39"/>
  <c r="H32" i="39"/>
  <c r="H71" i="39"/>
  <c r="H60" i="39"/>
  <c r="I39" i="39"/>
  <c r="AF75" i="41" l="1"/>
  <c r="AG35" i="41"/>
  <c r="AG37" i="41" s="1"/>
  <c r="AF61" i="41"/>
  <c r="AF63" i="41"/>
  <c r="AF64" i="41" s="1"/>
  <c r="AF77" i="41"/>
  <c r="AF74" i="41"/>
  <c r="AG29" i="41"/>
  <c r="AE65" i="41"/>
  <c r="T63" i="40"/>
  <c r="U59" i="40"/>
  <c r="U61" i="40"/>
  <c r="U62" i="40" s="1"/>
  <c r="V35" i="40"/>
  <c r="U72" i="40"/>
  <c r="U73" i="40"/>
  <c r="U75" i="40"/>
  <c r="U83" i="40"/>
  <c r="G37" i="39"/>
  <c r="I60" i="39"/>
  <c r="I71" i="39"/>
  <c r="J39" i="39"/>
  <c r="I32" i="39"/>
  <c r="H34" i="39"/>
  <c r="H35" i="39"/>
  <c r="H36" i="39"/>
  <c r="AG61" i="41" l="1"/>
  <c r="AG63" i="41"/>
  <c r="AG64" i="41" s="1"/>
  <c r="AG74" i="41"/>
  <c r="AG77" i="41"/>
  <c r="AH29" i="41"/>
  <c r="AG75" i="41"/>
  <c r="AH35" i="41"/>
  <c r="AH37" i="41" s="1"/>
  <c r="AF65" i="41"/>
  <c r="U63" i="40"/>
  <c r="V59" i="40"/>
  <c r="V61" i="40"/>
  <c r="V62" i="40" s="1"/>
  <c r="V72" i="40"/>
  <c r="V73" i="40"/>
  <c r="V75" i="40"/>
  <c r="V83" i="40"/>
  <c r="W35" i="40"/>
  <c r="J71" i="39"/>
  <c r="K39" i="39"/>
  <c r="J60" i="39"/>
  <c r="H37" i="39"/>
  <c r="J32" i="39"/>
  <c r="I35" i="39"/>
  <c r="I36" i="39"/>
  <c r="I34" i="39"/>
  <c r="AI29" i="41" l="1"/>
  <c r="AI35" i="41"/>
  <c r="AI37" i="41" s="1"/>
  <c r="AH77" i="41"/>
  <c r="AH74" i="41"/>
  <c r="AH75" i="41"/>
  <c r="AH61" i="41"/>
  <c r="AH63" i="41"/>
  <c r="AH64" i="41" s="1"/>
  <c r="AG65" i="41"/>
  <c r="V63" i="40"/>
  <c r="W73" i="40"/>
  <c r="W75" i="40"/>
  <c r="W83" i="40"/>
  <c r="X35" i="40"/>
  <c r="W61" i="40"/>
  <c r="W62" i="40" s="1"/>
  <c r="W72" i="40"/>
  <c r="W59" i="40"/>
  <c r="K32" i="39"/>
  <c r="J35" i="39"/>
  <c r="J36" i="39"/>
  <c r="J34" i="39"/>
  <c r="K71" i="39"/>
  <c r="L39" i="39"/>
  <c r="K60" i="39"/>
  <c r="I37" i="39"/>
  <c r="AH65" i="41" l="1"/>
  <c r="AI63" i="41"/>
  <c r="AI64" i="41" s="1"/>
  <c r="AJ29" i="41"/>
  <c r="AI74" i="41"/>
  <c r="AI77" i="41"/>
  <c r="AJ35" i="41"/>
  <c r="AJ37" i="41" s="1"/>
  <c r="AI61" i="41"/>
  <c r="AI65" i="41" s="1"/>
  <c r="AI75" i="41"/>
  <c r="W63" i="40"/>
  <c r="X73" i="40"/>
  <c r="X75" i="40"/>
  <c r="X59" i="40"/>
  <c r="X83" i="40"/>
  <c r="Y35" i="40"/>
  <c r="X72" i="40"/>
  <c r="X61" i="40"/>
  <c r="X62" i="40" s="1"/>
  <c r="L71" i="39"/>
  <c r="L60" i="39"/>
  <c r="M39" i="39"/>
  <c r="J37" i="39"/>
  <c r="K35" i="39"/>
  <c r="K34" i="39"/>
  <c r="L32" i="39"/>
  <c r="K36" i="39"/>
  <c r="AK35" i="41" l="1"/>
  <c r="AK37" i="41" s="1"/>
  <c r="AJ77" i="41"/>
  <c r="AJ74" i="41"/>
  <c r="AJ63" i="41"/>
  <c r="AJ64" i="41" s="1"/>
  <c r="AK29" i="41"/>
  <c r="AJ61" i="41"/>
  <c r="AJ75" i="41"/>
  <c r="Y72" i="40"/>
  <c r="Y83" i="40"/>
  <c r="Y73" i="40"/>
  <c r="Y75" i="40"/>
  <c r="Y61" i="40"/>
  <c r="Y62" i="40" s="1"/>
  <c r="Z35" i="40"/>
  <c r="Y59" i="40"/>
  <c r="X63" i="40"/>
  <c r="L35" i="39"/>
  <c r="M32" i="39"/>
  <c r="L36" i="39"/>
  <c r="L34" i="39"/>
  <c r="K37" i="39"/>
  <c r="N39" i="39"/>
  <c r="M60" i="39"/>
  <c r="M71" i="39"/>
  <c r="AJ65" i="41" l="1"/>
  <c r="AK61" i="41"/>
  <c r="AK77" i="41"/>
  <c r="AK63" i="41"/>
  <c r="AK64" i="41" s="1"/>
  <c r="AK74" i="41"/>
  <c r="AK75" i="41"/>
  <c r="Y63" i="40"/>
  <c r="Z61" i="40"/>
  <c r="Z62" i="40" s="1"/>
  <c r="Z73" i="40"/>
  <c r="Z75" i="40"/>
  <c r="Z59" i="40"/>
  <c r="AA35" i="40"/>
  <c r="Z83" i="40"/>
  <c r="Z72" i="40"/>
  <c r="M36" i="39"/>
  <c r="M34" i="39"/>
  <c r="N32" i="39"/>
  <c r="M35" i="39"/>
  <c r="O39" i="39"/>
  <c r="N60" i="39"/>
  <c r="N71" i="39"/>
  <c r="L37" i="39"/>
  <c r="AK65" i="41" l="1"/>
  <c r="AA61" i="40"/>
  <c r="AA62" i="40" s="1"/>
  <c r="AA73" i="40"/>
  <c r="AA75" i="40"/>
  <c r="AA72" i="40"/>
  <c r="AA83" i="40"/>
  <c r="AB35" i="40"/>
  <c r="AA59" i="40"/>
  <c r="Z63" i="40"/>
  <c r="N36" i="39"/>
  <c r="N34" i="39"/>
  <c r="O32" i="39"/>
  <c r="N35" i="39"/>
  <c r="M37" i="39"/>
  <c r="P39" i="39"/>
  <c r="O60" i="39"/>
  <c r="O71" i="39"/>
  <c r="AA63" i="40" l="1"/>
  <c r="AB73" i="40"/>
  <c r="AB72" i="40"/>
  <c r="AB75" i="40"/>
  <c r="AB59" i="40"/>
  <c r="AB61" i="40"/>
  <c r="AB62" i="40" s="1"/>
  <c r="AC35" i="40"/>
  <c r="AB83" i="40"/>
  <c r="N37" i="39"/>
  <c r="P60" i="39"/>
  <c r="P71" i="39"/>
  <c r="Q39" i="39"/>
  <c r="O36" i="39"/>
  <c r="P32" i="39"/>
  <c r="O35" i="39"/>
  <c r="O34" i="39"/>
  <c r="AB63" i="40" l="1"/>
  <c r="AC73" i="40"/>
  <c r="AC75" i="40"/>
  <c r="AC83" i="40"/>
  <c r="AC72" i="40"/>
  <c r="AD35" i="40"/>
  <c r="AC59" i="40"/>
  <c r="AC61" i="40"/>
  <c r="AC62" i="40" s="1"/>
  <c r="Q32" i="39"/>
  <c r="P35" i="39"/>
  <c r="P36" i="39"/>
  <c r="P34" i="39"/>
  <c r="O37" i="39"/>
  <c r="R39" i="39"/>
  <c r="S39" i="39" s="1"/>
  <c r="T39" i="39" l="1"/>
  <c r="S71" i="39"/>
  <c r="S86" i="39"/>
  <c r="S87" i="39"/>
  <c r="S62" i="39"/>
  <c r="S72" i="39"/>
  <c r="S74" i="39" s="1"/>
  <c r="S60" i="39"/>
  <c r="AD73" i="40"/>
  <c r="AD72" i="40"/>
  <c r="AD75" i="40"/>
  <c r="AD61" i="40"/>
  <c r="AD62" i="40" s="1"/>
  <c r="AD83" i="40"/>
  <c r="AE35" i="40"/>
  <c r="AD59" i="40"/>
  <c r="AC63" i="40"/>
  <c r="P37" i="39"/>
  <c r="R32" i="39"/>
  <c r="Q35" i="39"/>
  <c r="Q34" i="39"/>
  <c r="Q36" i="39"/>
  <c r="R71" i="39"/>
  <c r="R87" i="39"/>
  <c r="R62" i="39"/>
  <c r="R86" i="39"/>
  <c r="R72" i="39"/>
  <c r="R60" i="39"/>
  <c r="T87" i="39" l="1"/>
  <c r="T60" i="39"/>
  <c r="T86" i="39"/>
  <c r="T62" i="39"/>
  <c r="T72" i="39"/>
  <c r="U39" i="39"/>
  <c r="T71" i="39"/>
  <c r="AD63" i="40"/>
  <c r="AE61" i="40"/>
  <c r="AE62" i="40" s="1"/>
  <c r="AE72" i="40"/>
  <c r="AE59" i="40"/>
  <c r="AE73" i="40"/>
  <c r="AE75" i="40"/>
  <c r="AE83" i="40"/>
  <c r="AF35" i="40"/>
  <c r="Q37" i="39"/>
  <c r="R74" i="39"/>
  <c r="R35" i="39"/>
  <c r="H46" i="39" s="1"/>
  <c r="R36" i="39"/>
  <c r="H47" i="39" s="1"/>
  <c r="R34" i="39"/>
  <c r="T74" i="39" l="1"/>
  <c r="V39" i="39"/>
  <c r="U62" i="39"/>
  <c r="U86" i="39"/>
  <c r="U87" i="39"/>
  <c r="U71" i="39"/>
  <c r="U60" i="39"/>
  <c r="U72" i="39"/>
  <c r="AE63" i="40"/>
  <c r="AF59" i="40"/>
  <c r="AF61" i="40"/>
  <c r="AF62" i="40" s="1"/>
  <c r="AF72" i="40"/>
  <c r="AF83" i="40"/>
  <c r="AF73" i="40"/>
  <c r="AF75" i="40"/>
  <c r="AG35" i="40"/>
  <c r="R37" i="39"/>
  <c r="H45" i="39"/>
  <c r="U74" i="39" l="1"/>
  <c r="V87" i="39"/>
  <c r="V86" i="39"/>
  <c r="W39" i="39"/>
  <c r="V71" i="39"/>
  <c r="V62" i="39"/>
  <c r="V60" i="39"/>
  <c r="V72" i="39"/>
  <c r="AF63" i="40"/>
  <c r="AG59" i="40"/>
  <c r="AG73" i="40"/>
  <c r="AG61" i="40"/>
  <c r="AG62" i="40" s="1"/>
  <c r="AG72" i="40"/>
  <c r="AH35" i="40"/>
  <c r="AG75" i="40"/>
  <c r="AG83" i="40"/>
  <c r="H52" i="39"/>
  <c r="W60" i="39" l="1"/>
  <c r="W86" i="39"/>
  <c r="X39" i="39"/>
  <c r="W72" i="39"/>
  <c r="W71" i="39"/>
  <c r="W62" i="39"/>
  <c r="W74" i="39" s="1"/>
  <c r="W87" i="39"/>
  <c r="V74" i="39"/>
  <c r="AG63" i="40"/>
  <c r="AH61" i="40"/>
  <c r="AH62" i="40" s="1"/>
  <c r="AH73" i="40"/>
  <c r="AH72" i="40"/>
  <c r="AH83" i="40"/>
  <c r="AI35" i="40"/>
  <c r="AH75" i="40"/>
  <c r="AH59" i="40"/>
  <c r="D16" i="29"/>
  <c r="Y39" i="39" l="1"/>
  <c r="X87" i="39"/>
  <c r="X71" i="39"/>
  <c r="X60" i="39"/>
  <c r="X62" i="39"/>
  <c r="X86" i="39"/>
  <c r="X72" i="39"/>
  <c r="AH63" i="40"/>
  <c r="AJ35" i="40"/>
  <c r="AI72" i="40"/>
  <c r="AI61" i="40"/>
  <c r="AI62" i="40" s="1"/>
  <c r="AI59" i="40"/>
  <c r="AI73" i="40"/>
  <c r="AI75" i="40"/>
  <c r="AI83" i="40"/>
  <c r="D22" i="37"/>
  <c r="X22" i="37" s="1"/>
  <c r="D21" i="37"/>
  <c r="X21" i="37" s="1"/>
  <c r="D23" i="37"/>
  <c r="I19" i="57" l="1"/>
  <c r="D14" i="37"/>
  <c r="J16" i="56" s="1"/>
  <c r="E18" i="57"/>
  <c r="F18" i="57"/>
  <c r="H18" i="57"/>
  <c r="X74" i="39"/>
  <c r="Y71" i="39"/>
  <c r="Y60" i="39"/>
  <c r="Z39" i="39"/>
  <c r="Y86" i="39"/>
  <c r="Y62" i="39"/>
  <c r="Y87" i="39"/>
  <c r="Y72" i="39"/>
  <c r="AE38" i="47"/>
  <c r="D15" i="37"/>
  <c r="J17" i="56" s="1"/>
  <c r="D57" i="37"/>
  <c r="H60" i="37"/>
  <c r="D60" i="37"/>
  <c r="D61" i="37"/>
  <c r="H61" i="37"/>
  <c r="G15" i="45"/>
  <c r="G12" i="45" s="1"/>
  <c r="E30" i="53" s="1"/>
  <c r="G30" i="53" s="1"/>
  <c r="AJ87" i="48"/>
  <c r="M19" i="48"/>
  <c r="P87" i="48"/>
  <c r="M18" i="48"/>
  <c r="N87" i="48"/>
  <c r="K87" i="48"/>
  <c r="AH87" i="48"/>
  <c r="AK87" i="48"/>
  <c r="H59" i="48"/>
  <c r="R87" i="48"/>
  <c r="H87" i="48"/>
  <c r="AC87" i="48"/>
  <c r="Z87" i="48"/>
  <c r="AG87" i="48"/>
  <c r="V87" i="48"/>
  <c r="S87" i="48"/>
  <c r="M17" i="48"/>
  <c r="AE87" i="48"/>
  <c r="U87" i="48"/>
  <c r="J87" i="48"/>
  <c r="Q87" i="48"/>
  <c r="AB87" i="48"/>
  <c r="W87" i="48"/>
  <c r="M87" i="48"/>
  <c r="Y87" i="48"/>
  <c r="M12" i="48"/>
  <c r="M20" i="48" s="1"/>
  <c r="AF87" i="48"/>
  <c r="AA87" i="48"/>
  <c r="T87" i="48"/>
  <c r="O87" i="48"/>
  <c r="AI87" i="48"/>
  <c r="I87" i="48"/>
  <c r="L87" i="48"/>
  <c r="AD87" i="48"/>
  <c r="X87" i="48"/>
  <c r="AI63" i="40"/>
  <c r="AJ72" i="40"/>
  <c r="AJ59" i="40"/>
  <c r="AJ83" i="40"/>
  <c r="AJ61" i="40"/>
  <c r="AJ62" i="40" s="1"/>
  <c r="AJ73" i="40"/>
  <c r="AJ75" i="40"/>
  <c r="AK35" i="40"/>
  <c r="H38" i="37"/>
  <c r="G6" i="41"/>
  <c r="G9" i="41" s="1"/>
  <c r="D38" i="37"/>
  <c r="G12" i="40"/>
  <c r="D36" i="37"/>
  <c r="H36" i="37"/>
  <c r="G12" i="42"/>
  <c r="G14" i="42" s="1"/>
  <c r="D37" i="37"/>
  <c r="H37" i="37"/>
  <c r="D14" i="57" l="1"/>
  <c r="D34" i="57"/>
  <c r="H28" i="57"/>
  <c r="H34" i="57"/>
  <c r="G14" i="57"/>
  <c r="G34" i="57"/>
  <c r="F28" i="57"/>
  <c r="F34" i="57"/>
  <c r="I18" i="57"/>
  <c r="E34" i="57"/>
  <c r="E28" i="57"/>
  <c r="Y74" i="39"/>
  <c r="J43" i="28"/>
  <c r="L43" i="28"/>
  <c r="K43" i="28"/>
  <c r="F90" i="28"/>
  <c r="N51" i="48"/>
  <c r="O51" i="48"/>
  <c r="H51" i="48"/>
  <c r="P51" i="48"/>
  <c r="X51" i="48"/>
  <c r="AF51" i="48"/>
  <c r="AJ51" i="48"/>
  <c r="AK51" i="48"/>
  <c r="V51" i="48"/>
  <c r="I51" i="48"/>
  <c r="Q51" i="48"/>
  <c r="Y51" i="48"/>
  <c r="AG51" i="48"/>
  <c r="S51" i="48"/>
  <c r="AI51" i="48"/>
  <c r="T51" i="48"/>
  <c r="M51" i="48"/>
  <c r="AC51" i="48"/>
  <c r="W51" i="48"/>
  <c r="J51" i="48"/>
  <c r="R51" i="48"/>
  <c r="Z51" i="48"/>
  <c r="AH51" i="48"/>
  <c r="K51" i="48"/>
  <c r="AA51" i="48"/>
  <c r="L51" i="48"/>
  <c r="AB51" i="48"/>
  <c r="U51" i="48"/>
  <c r="AD51" i="48"/>
  <c r="AE51" i="48"/>
  <c r="AA39" i="39"/>
  <c r="Z72" i="39"/>
  <c r="Z71" i="39"/>
  <c r="Z60" i="39"/>
  <c r="Z86" i="39"/>
  <c r="Z62" i="39"/>
  <c r="Z74" i="39" s="1"/>
  <c r="Z87" i="39"/>
  <c r="F89" i="28"/>
  <c r="AG38" i="47"/>
  <c r="AG39" i="47" s="1"/>
  <c r="L38" i="47"/>
  <c r="L40" i="47" s="1"/>
  <c r="L45" i="47" s="1"/>
  <c r="R38" i="47"/>
  <c r="R40" i="47" s="1"/>
  <c r="R45" i="47" s="1"/>
  <c r="I38" i="47"/>
  <c r="I40" i="47" s="1"/>
  <c r="I45" i="47" s="1"/>
  <c r="S38" i="47"/>
  <c r="S40" i="47" s="1"/>
  <c r="S45" i="47" s="1"/>
  <c r="AH38" i="47"/>
  <c r="AH39" i="47" s="1"/>
  <c r="AF38" i="47"/>
  <c r="AF40" i="47" s="1"/>
  <c r="AF45" i="47" s="1"/>
  <c r="AK38" i="47"/>
  <c r="AK40" i="47" s="1"/>
  <c r="AK45" i="47" s="1"/>
  <c r="N38" i="47"/>
  <c r="N40" i="47" s="1"/>
  <c r="N45" i="47" s="1"/>
  <c r="K38" i="47"/>
  <c r="K40" i="47" s="1"/>
  <c r="K45" i="47" s="1"/>
  <c r="AB38" i="47"/>
  <c r="AB40" i="47" s="1"/>
  <c r="AB45" i="47" s="1"/>
  <c r="O38" i="47"/>
  <c r="O39" i="47" s="1"/>
  <c r="X38" i="47"/>
  <c r="X40" i="47" s="1"/>
  <c r="X45" i="47" s="1"/>
  <c r="AJ38" i="47"/>
  <c r="AJ40" i="47" s="1"/>
  <c r="AJ45" i="47" s="1"/>
  <c r="Z38" i="47"/>
  <c r="Z40" i="47" s="1"/>
  <c r="Z45" i="47" s="1"/>
  <c r="AC38" i="47"/>
  <c r="AC40" i="47" s="1"/>
  <c r="AC45" i="47" s="1"/>
  <c r="AA38" i="47"/>
  <c r="AA39" i="47" s="1"/>
  <c r="W38" i="47"/>
  <c r="W39" i="47" s="1"/>
  <c r="V38" i="47"/>
  <c r="V40" i="47" s="1"/>
  <c r="V45" i="47" s="1"/>
  <c r="M38" i="47"/>
  <c r="M39" i="47" s="1"/>
  <c r="H38" i="47"/>
  <c r="H40" i="47" s="1"/>
  <c r="H45" i="47" s="1"/>
  <c r="Y38" i="47"/>
  <c r="Y39" i="47" s="1"/>
  <c r="P38" i="47"/>
  <c r="P40" i="47" s="1"/>
  <c r="P45" i="47" s="1"/>
  <c r="AI38" i="47"/>
  <c r="AI39" i="47" s="1"/>
  <c r="AD38" i="47"/>
  <c r="AD40" i="47" s="1"/>
  <c r="AD45" i="47" s="1"/>
  <c r="J38" i="47"/>
  <c r="J39" i="47" s="1"/>
  <c r="U38" i="47"/>
  <c r="U39" i="47" s="1"/>
  <c r="T38" i="47"/>
  <c r="T40" i="47" s="1"/>
  <c r="T45" i="47" s="1"/>
  <c r="Q38" i="47"/>
  <c r="Q39" i="47" s="1"/>
  <c r="J45" i="45"/>
  <c r="K45" i="45"/>
  <c r="I46" i="45"/>
  <c r="J46" i="45"/>
  <c r="J47" i="45"/>
  <c r="I45" i="45"/>
  <c r="I47" i="45"/>
  <c r="K46" i="45"/>
  <c r="G20" i="45"/>
  <c r="E33" i="53" s="1"/>
  <c r="K47" i="45"/>
  <c r="L46" i="45"/>
  <c r="L47" i="45"/>
  <c r="L45" i="45"/>
  <c r="M47" i="45"/>
  <c r="M45" i="45"/>
  <c r="M46" i="45"/>
  <c r="N46" i="45"/>
  <c r="N47" i="45"/>
  <c r="N45" i="45"/>
  <c r="O46" i="45"/>
  <c r="O45" i="45"/>
  <c r="O47" i="45"/>
  <c r="P45" i="45"/>
  <c r="P46" i="45"/>
  <c r="P47" i="45"/>
  <c r="Q45" i="45"/>
  <c r="Q47" i="45"/>
  <c r="Q46" i="45"/>
  <c r="R47" i="45"/>
  <c r="R46" i="45"/>
  <c r="R45" i="45"/>
  <c r="S46" i="45"/>
  <c r="S47" i="45"/>
  <c r="S45" i="45"/>
  <c r="T47" i="45"/>
  <c r="T45" i="45"/>
  <c r="T46" i="45"/>
  <c r="U46" i="45"/>
  <c r="U47" i="45"/>
  <c r="U45" i="45"/>
  <c r="V46" i="45"/>
  <c r="V47" i="45"/>
  <c r="V45" i="45"/>
  <c r="W46" i="45"/>
  <c r="W47" i="45"/>
  <c r="W45" i="45"/>
  <c r="X47" i="45"/>
  <c r="X45" i="45"/>
  <c r="X46" i="45"/>
  <c r="Y46" i="45"/>
  <c r="Y45" i="45"/>
  <c r="Y47" i="45"/>
  <c r="Z45" i="45"/>
  <c r="Z46" i="45"/>
  <c r="Z47" i="45"/>
  <c r="AA45" i="45"/>
  <c r="AA47" i="45"/>
  <c r="AA46" i="45"/>
  <c r="AB46" i="45"/>
  <c r="AB47" i="45"/>
  <c r="AB45" i="45"/>
  <c r="AC45" i="45"/>
  <c r="AC47" i="45"/>
  <c r="AC46" i="45"/>
  <c r="AD46" i="45"/>
  <c r="AD47" i="45"/>
  <c r="AD45" i="45"/>
  <c r="AE45" i="45"/>
  <c r="AE47" i="45"/>
  <c r="AE46" i="45"/>
  <c r="AF46" i="45"/>
  <c r="AF47" i="45"/>
  <c r="AF45" i="45"/>
  <c r="AG45" i="45"/>
  <c r="AG46" i="45"/>
  <c r="AG47" i="45"/>
  <c r="AH45" i="45"/>
  <c r="AH46" i="45"/>
  <c r="AH47" i="45"/>
  <c r="AI46" i="45"/>
  <c r="AI45" i="45"/>
  <c r="AI47" i="45"/>
  <c r="AJ46" i="45"/>
  <c r="AJ47" i="45"/>
  <c r="AJ45" i="45"/>
  <c r="AK47" i="45"/>
  <c r="AK46" i="45"/>
  <c r="AK45" i="45"/>
  <c r="K49" i="48"/>
  <c r="I49" i="48"/>
  <c r="J49" i="48"/>
  <c r="H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L42" i="48"/>
  <c r="I42" i="48"/>
  <c r="N12" i="48"/>
  <c r="K42" i="48"/>
  <c r="H42" i="48"/>
  <c r="J42" i="48"/>
  <c r="M21" i="48"/>
  <c r="M22" i="48" s="1"/>
  <c r="M13" i="48"/>
  <c r="M14" i="48" s="1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H50" i="48"/>
  <c r="I50" i="48"/>
  <c r="K50" i="48"/>
  <c r="J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K48" i="48"/>
  <c r="J48" i="48"/>
  <c r="H48" i="48"/>
  <c r="I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E40" i="47"/>
  <c r="AE45" i="47" s="1"/>
  <c r="AE39" i="47"/>
  <c r="I39" i="47"/>
  <c r="W32" i="41"/>
  <c r="X32" i="41"/>
  <c r="AF32" i="41"/>
  <c r="Y32" i="41"/>
  <c r="AG32" i="41"/>
  <c r="Z32" i="41"/>
  <c r="AH32" i="41"/>
  <c r="AD32" i="41"/>
  <c r="V32" i="41"/>
  <c r="S32" i="41"/>
  <c r="AA32" i="41"/>
  <c r="AI32" i="41"/>
  <c r="T32" i="41"/>
  <c r="AB32" i="41"/>
  <c r="AJ32" i="41"/>
  <c r="U32" i="41"/>
  <c r="AC32" i="41"/>
  <c r="AK32" i="41"/>
  <c r="AE32" i="41"/>
  <c r="V87" i="42"/>
  <c r="AD87" i="42"/>
  <c r="W87" i="42"/>
  <c r="AE87" i="42"/>
  <c r="X87" i="42"/>
  <c r="AF87" i="42"/>
  <c r="Y87" i="42"/>
  <c r="AG87" i="42"/>
  <c r="Z87" i="42"/>
  <c r="AH87" i="42"/>
  <c r="AK87" i="42"/>
  <c r="S87" i="42"/>
  <c r="AA87" i="42"/>
  <c r="AI87" i="42"/>
  <c r="AC87" i="42"/>
  <c r="T87" i="42"/>
  <c r="AB87" i="42"/>
  <c r="AJ87" i="42"/>
  <c r="U87" i="42"/>
  <c r="AJ63" i="40"/>
  <c r="AK59" i="40"/>
  <c r="AK61" i="40"/>
  <c r="AK62" i="40" s="1"/>
  <c r="AK72" i="40"/>
  <c r="AK73" i="40"/>
  <c r="AK75" i="40"/>
  <c r="AK83" i="40"/>
  <c r="V85" i="40"/>
  <c r="AD85" i="40"/>
  <c r="W85" i="40"/>
  <c r="AE85" i="40"/>
  <c r="X85" i="40"/>
  <c r="AF85" i="40"/>
  <c r="AK85" i="40"/>
  <c r="Y85" i="40"/>
  <c r="AG85" i="40"/>
  <c r="U85" i="40"/>
  <c r="Z85" i="40"/>
  <c r="AH85" i="40"/>
  <c r="AC85" i="40"/>
  <c r="S85" i="40"/>
  <c r="AA85" i="40"/>
  <c r="AI85" i="40"/>
  <c r="T85" i="40"/>
  <c r="AB85" i="40"/>
  <c r="AJ85" i="40"/>
  <c r="K85" i="40"/>
  <c r="M19" i="40"/>
  <c r="N85" i="40"/>
  <c r="M18" i="40"/>
  <c r="H57" i="40"/>
  <c r="H85" i="40"/>
  <c r="I85" i="40"/>
  <c r="M17" i="40"/>
  <c r="R85" i="40"/>
  <c r="O85" i="40"/>
  <c r="P85" i="40"/>
  <c r="Q85" i="40"/>
  <c r="J85" i="40"/>
  <c r="M85" i="40"/>
  <c r="M12" i="40"/>
  <c r="M20" i="40" s="1"/>
  <c r="L85" i="40"/>
  <c r="L87" i="42"/>
  <c r="H87" i="42"/>
  <c r="K87" i="42"/>
  <c r="M87" i="42"/>
  <c r="R87" i="42"/>
  <c r="P87" i="42"/>
  <c r="M17" i="42"/>
  <c r="M18" i="42"/>
  <c r="Q87" i="42"/>
  <c r="N87" i="42"/>
  <c r="O87" i="42"/>
  <c r="M19" i="42"/>
  <c r="I87" i="42"/>
  <c r="H59" i="42"/>
  <c r="J87" i="42"/>
  <c r="M12" i="42"/>
  <c r="M20" i="42" s="1"/>
  <c r="L32" i="41"/>
  <c r="K32" i="41"/>
  <c r="H32" i="41"/>
  <c r="O32" i="41"/>
  <c r="I32" i="41"/>
  <c r="R32" i="41"/>
  <c r="M32" i="41"/>
  <c r="P32" i="41"/>
  <c r="Q32" i="41"/>
  <c r="J32" i="41"/>
  <c r="N32" i="41"/>
  <c r="F69" i="35"/>
  <c r="F59" i="35"/>
  <c r="F62" i="35" s="1"/>
  <c r="G12" i="35"/>
  <c r="G15" i="57" l="1"/>
  <c r="G28" i="57"/>
  <c r="D28" i="57"/>
  <c r="I14" i="57"/>
  <c r="D15" i="57"/>
  <c r="O40" i="47"/>
  <c r="O45" i="47" s="1"/>
  <c r="AB39" i="47"/>
  <c r="AB47" i="47" s="1"/>
  <c r="K39" i="47"/>
  <c r="K52" i="47" s="1"/>
  <c r="L39" i="47"/>
  <c r="L57" i="47" s="1"/>
  <c r="V39" i="47"/>
  <c r="V50" i="47" s="1"/>
  <c r="S39" i="47"/>
  <c r="R39" i="47"/>
  <c r="R56" i="47" s="1"/>
  <c r="U40" i="47"/>
  <c r="U45" i="47" s="1"/>
  <c r="W40" i="47"/>
  <c r="W45" i="47" s="1"/>
  <c r="AJ39" i="47"/>
  <c r="AJ59" i="47" s="1"/>
  <c r="F72" i="35"/>
  <c r="F74" i="35" s="1"/>
  <c r="G33" i="53"/>
  <c r="G35" i="53" s="1"/>
  <c r="K80" i="28"/>
  <c r="L80" i="28"/>
  <c r="J80" i="28"/>
  <c r="AG40" i="47"/>
  <c r="AG45" i="47" s="1"/>
  <c r="AD39" i="47"/>
  <c r="AD52" i="47" s="1"/>
  <c r="I51" i="42"/>
  <c r="AG51" i="42"/>
  <c r="J51" i="42"/>
  <c r="R51" i="42"/>
  <c r="Z51" i="42"/>
  <c r="AH51" i="42"/>
  <c r="P51" i="42"/>
  <c r="K51" i="42"/>
  <c r="S51" i="42"/>
  <c r="AA51" i="42"/>
  <c r="AI51" i="42"/>
  <c r="AF51" i="42"/>
  <c r="Q51" i="42"/>
  <c r="L51" i="42"/>
  <c r="T51" i="42"/>
  <c r="AB51" i="42"/>
  <c r="AJ51" i="42"/>
  <c r="N51" i="42"/>
  <c r="H51" i="42"/>
  <c r="O51" i="42"/>
  <c r="M51" i="42"/>
  <c r="U51" i="42"/>
  <c r="AC51" i="42"/>
  <c r="AK51" i="42"/>
  <c r="V51" i="42"/>
  <c r="AD51" i="42"/>
  <c r="W51" i="42"/>
  <c r="AE51" i="42"/>
  <c r="X51" i="42"/>
  <c r="Y51" i="42"/>
  <c r="AE49" i="40"/>
  <c r="P49" i="40"/>
  <c r="X49" i="40"/>
  <c r="AF49" i="40"/>
  <c r="V49" i="40"/>
  <c r="I49" i="40"/>
  <c r="Q49" i="40"/>
  <c r="Y49" i="40"/>
  <c r="AG49" i="40"/>
  <c r="U49" i="40"/>
  <c r="AK49" i="40"/>
  <c r="N49" i="40"/>
  <c r="H49" i="40"/>
  <c r="W49" i="40"/>
  <c r="J49" i="40"/>
  <c r="R49" i="40"/>
  <c r="Z49" i="40"/>
  <c r="AH49" i="40"/>
  <c r="T49" i="40"/>
  <c r="AB49" i="40"/>
  <c r="K49" i="40"/>
  <c r="S49" i="40"/>
  <c r="AA49" i="40"/>
  <c r="AI49" i="40"/>
  <c r="L49" i="40"/>
  <c r="AJ49" i="40"/>
  <c r="M49" i="40"/>
  <c r="AC49" i="40"/>
  <c r="AD49" i="40"/>
  <c r="O49" i="40"/>
  <c r="AA60" i="39"/>
  <c r="AA86" i="39"/>
  <c r="AA62" i="39"/>
  <c r="AA72" i="39"/>
  <c r="AA71" i="39"/>
  <c r="AA87" i="39"/>
  <c r="AB39" i="39"/>
  <c r="Y40" i="47"/>
  <c r="Y45" i="47" s="1"/>
  <c r="H39" i="47"/>
  <c r="R12" i="47" s="1"/>
  <c r="N39" i="47"/>
  <c r="N61" i="47" s="1"/>
  <c r="Q40" i="47"/>
  <c r="Q45" i="47" s="1"/>
  <c r="AA40" i="47"/>
  <c r="AA45" i="47" s="1"/>
  <c r="X39" i="47"/>
  <c r="X50" i="47" s="1"/>
  <c r="AH40" i="47"/>
  <c r="AH45" i="47" s="1"/>
  <c r="Z39" i="47"/>
  <c r="Z50" i="47" s="1"/>
  <c r="AF39" i="47"/>
  <c r="AF52" i="47" s="1"/>
  <c r="P39" i="47"/>
  <c r="P60" i="47" s="1"/>
  <c r="AK39" i="47"/>
  <c r="AK46" i="47" s="1"/>
  <c r="AC39" i="47"/>
  <c r="AC60" i="47" s="1"/>
  <c r="AI40" i="47"/>
  <c r="AI45" i="47" s="1"/>
  <c r="M40" i="47"/>
  <c r="M45" i="47" s="1"/>
  <c r="T39" i="47"/>
  <c r="T52" i="47" s="1"/>
  <c r="J40" i="47"/>
  <c r="J45" i="47" s="1"/>
  <c r="M24" i="48"/>
  <c r="I52" i="45"/>
  <c r="V60" i="47"/>
  <c r="Y86" i="48"/>
  <c r="Y88" i="48" s="1"/>
  <c r="Y90" i="48" s="1"/>
  <c r="Y52" i="48"/>
  <c r="Y53" i="48" s="1"/>
  <c r="AB37" i="44" s="1"/>
  <c r="Y43" i="48"/>
  <c r="Y45" i="48" s="1"/>
  <c r="AB29" i="44" s="1"/>
  <c r="AF52" i="48"/>
  <c r="AF53" i="48" s="1"/>
  <c r="AI37" i="44" s="1"/>
  <c r="AF86" i="48"/>
  <c r="AF88" i="48" s="1"/>
  <c r="AF90" i="48" s="1"/>
  <c r="AF43" i="48"/>
  <c r="AF45" i="48" s="1"/>
  <c r="AI29" i="44" s="1"/>
  <c r="X86" i="48"/>
  <c r="X88" i="48" s="1"/>
  <c r="X90" i="48" s="1"/>
  <c r="X52" i="48"/>
  <c r="X53" i="48" s="1"/>
  <c r="AA37" i="44" s="1"/>
  <c r="X43" i="48"/>
  <c r="X45" i="48" s="1"/>
  <c r="AA29" i="44" s="1"/>
  <c r="P52" i="48"/>
  <c r="P53" i="48" s="1"/>
  <c r="S37" i="44" s="1"/>
  <c r="P86" i="48"/>
  <c r="P88" i="48" s="1"/>
  <c r="P90" i="48" s="1"/>
  <c r="P43" i="48"/>
  <c r="P45" i="48" s="1"/>
  <c r="S29" i="44" s="1"/>
  <c r="H86" i="48"/>
  <c r="H88" i="48" s="1"/>
  <c r="H90" i="48" s="1"/>
  <c r="H43" i="48"/>
  <c r="H45" i="48" s="1"/>
  <c r="H52" i="48"/>
  <c r="H53" i="48" s="1"/>
  <c r="AI52" i="47"/>
  <c r="AI51" i="47"/>
  <c r="AI47" i="47"/>
  <c r="AI57" i="47"/>
  <c r="AI60" i="47"/>
  <c r="AI56" i="47"/>
  <c r="AI50" i="47"/>
  <c r="AI59" i="47"/>
  <c r="AI58" i="47"/>
  <c r="AI46" i="47"/>
  <c r="AI61" i="47"/>
  <c r="R52" i="45"/>
  <c r="P52" i="45"/>
  <c r="M52" i="45"/>
  <c r="L56" i="47"/>
  <c r="AG46" i="47"/>
  <c r="AG50" i="47"/>
  <c r="AG59" i="47"/>
  <c r="AG52" i="47"/>
  <c r="AG58" i="47"/>
  <c r="AG61" i="47"/>
  <c r="AG60" i="47"/>
  <c r="AG47" i="47"/>
  <c r="AG56" i="47"/>
  <c r="AG57" i="47"/>
  <c r="AG51" i="47"/>
  <c r="AB52" i="47"/>
  <c r="U61" i="47"/>
  <c r="U47" i="47"/>
  <c r="U51" i="47"/>
  <c r="U57" i="47"/>
  <c r="U52" i="47"/>
  <c r="U58" i="47"/>
  <c r="U46" i="47"/>
  <c r="U60" i="47"/>
  <c r="U56" i="47"/>
  <c r="U59" i="47"/>
  <c r="U50" i="47"/>
  <c r="J47" i="47"/>
  <c r="J59" i="47"/>
  <c r="J50" i="47"/>
  <c r="J61" i="47"/>
  <c r="J56" i="47"/>
  <c r="J57" i="47"/>
  <c r="J60" i="47"/>
  <c r="J51" i="47"/>
  <c r="J46" i="47"/>
  <c r="J52" i="47"/>
  <c r="J58" i="47"/>
  <c r="AE52" i="48"/>
  <c r="AE53" i="48" s="1"/>
  <c r="AH37" i="44" s="1"/>
  <c r="AE43" i="48"/>
  <c r="AE45" i="48" s="1"/>
  <c r="AH29" i="44" s="1"/>
  <c r="AE86" i="48"/>
  <c r="AE88" i="48" s="1"/>
  <c r="AE90" i="48" s="1"/>
  <c r="W52" i="48"/>
  <c r="W53" i="48" s="1"/>
  <c r="Z37" i="44" s="1"/>
  <c r="W86" i="48"/>
  <c r="W88" i="48" s="1"/>
  <c r="W90" i="48" s="1"/>
  <c r="W43" i="48"/>
  <c r="W45" i="48" s="1"/>
  <c r="Z29" i="44" s="1"/>
  <c r="O86" i="48"/>
  <c r="O88" i="48" s="1"/>
  <c r="O90" i="48" s="1"/>
  <c r="O52" i="48"/>
  <c r="O53" i="48" s="1"/>
  <c r="R37" i="44" s="1"/>
  <c r="O43" i="48"/>
  <c r="O45" i="48" s="1"/>
  <c r="R29" i="44" s="1"/>
  <c r="K86" i="48"/>
  <c r="K88" i="48" s="1"/>
  <c r="K90" i="48" s="1"/>
  <c r="K52" i="48"/>
  <c r="K53" i="48" s="1"/>
  <c r="N37" i="44" s="1"/>
  <c r="K43" i="48"/>
  <c r="K45" i="48" s="1"/>
  <c r="N29" i="44" s="1"/>
  <c r="AC52" i="45"/>
  <c r="W52" i="45"/>
  <c r="AA52" i="45"/>
  <c r="AE52" i="47"/>
  <c r="AE57" i="47"/>
  <c r="AE47" i="47"/>
  <c r="AE59" i="47"/>
  <c r="AE60" i="47"/>
  <c r="AE51" i="47"/>
  <c r="AE56" i="47"/>
  <c r="AE61" i="47"/>
  <c r="AE58" i="47"/>
  <c r="AE46" i="47"/>
  <c r="AE50" i="47"/>
  <c r="AD43" i="48"/>
  <c r="AD45" i="48" s="1"/>
  <c r="AG29" i="44" s="1"/>
  <c r="AD52" i="48"/>
  <c r="AD53" i="48" s="1"/>
  <c r="AG37" i="44" s="1"/>
  <c r="AD86" i="48"/>
  <c r="AD88" i="48" s="1"/>
  <c r="AD90" i="48" s="1"/>
  <c r="V52" i="48"/>
  <c r="V53" i="48" s="1"/>
  <c r="Y37" i="44" s="1"/>
  <c r="V86" i="48"/>
  <c r="V88" i="48" s="1"/>
  <c r="V90" i="48" s="1"/>
  <c r="V43" i="48"/>
  <c r="V45" i="48" s="1"/>
  <c r="Y29" i="44" s="1"/>
  <c r="N52" i="48"/>
  <c r="N53" i="48" s="1"/>
  <c r="Q37" i="44" s="1"/>
  <c r="N86" i="48"/>
  <c r="N88" i="48" s="1"/>
  <c r="N90" i="48" s="1"/>
  <c r="N43" i="48"/>
  <c r="N45" i="48" s="1"/>
  <c r="Q29" i="44" s="1"/>
  <c r="AH61" i="47"/>
  <c r="AH46" i="47"/>
  <c r="AH51" i="47"/>
  <c r="AH50" i="47"/>
  <c r="AH57" i="47"/>
  <c r="AH60" i="47"/>
  <c r="AH58" i="47"/>
  <c r="AH52" i="47"/>
  <c r="AH47" i="47"/>
  <c r="AH59" i="47"/>
  <c r="AH56" i="47"/>
  <c r="W46" i="47"/>
  <c r="W56" i="47"/>
  <c r="W57" i="47"/>
  <c r="W60" i="47"/>
  <c r="W59" i="47"/>
  <c r="W50" i="47"/>
  <c r="W61" i="47"/>
  <c r="W58" i="47"/>
  <c r="W52" i="47"/>
  <c r="W47" i="47"/>
  <c r="W51" i="47"/>
  <c r="AJ52" i="45"/>
  <c r="AH52" i="45"/>
  <c r="AB52" i="45"/>
  <c r="Z52" i="45"/>
  <c r="O52" i="45"/>
  <c r="L52" i="45"/>
  <c r="M57" i="47"/>
  <c r="M47" i="47"/>
  <c r="M51" i="47"/>
  <c r="M52" i="47"/>
  <c r="M56" i="47"/>
  <c r="M46" i="47"/>
  <c r="M58" i="47"/>
  <c r="M59" i="47"/>
  <c r="M61" i="47"/>
  <c r="M50" i="47"/>
  <c r="M60" i="47"/>
  <c r="O59" i="47"/>
  <c r="O60" i="47"/>
  <c r="O61" i="47"/>
  <c r="O58" i="47"/>
  <c r="O46" i="47"/>
  <c r="O56" i="47"/>
  <c r="O51" i="47"/>
  <c r="O50" i="47"/>
  <c r="O57" i="47"/>
  <c r="O52" i="47"/>
  <c r="O47" i="47"/>
  <c r="AK52" i="48"/>
  <c r="AK53" i="48" s="1"/>
  <c r="AK43" i="48"/>
  <c r="AK45" i="48" s="1"/>
  <c r="AK86" i="48"/>
  <c r="AK88" i="48" s="1"/>
  <c r="AK90" i="48" s="1"/>
  <c r="AC86" i="48"/>
  <c r="AC88" i="48" s="1"/>
  <c r="AC90" i="48" s="1"/>
  <c r="AC52" i="48"/>
  <c r="AC53" i="48" s="1"/>
  <c r="AF37" i="44" s="1"/>
  <c r="AC43" i="48"/>
  <c r="AC45" i="48" s="1"/>
  <c r="AF29" i="44" s="1"/>
  <c r="U86" i="48"/>
  <c r="U88" i="48" s="1"/>
  <c r="U90" i="48" s="1"/>
  <c r="U43" i="48"/>
  <c r="U45" i="48" s="1"/>
  <c r="X29" i="44" s="1"/>
  <c r="U52" i="48"/>
  <c r="U53" i="48" s="1"/>
  <c r="X37" i="44" s="1"/>
  <c r="M43" i="48"/>
  <c r="M45" i="48" s="1"/>
  <c r="P29" i="44" s="1"/>
  <c r="M86" i="48"/>
  <c r="M88" i="48" s="1"/>
  <c r="M90" i="48" s="1"/>
  <c r="M52" i="48"/>
  <c r="M53" i="48" s="1"/>
  <c r="P37" i="44" s="1"/>
  <c r="I52" i="48"/>
  <c r="I53" i="48" s="1"/>
  <c r="I86" i="48"/>
  <c r="I88" i="48" s="1"/>
  <c r="I90" i="48" s="1"/>
  <c r="I43" i="48"/>
  <c r="I45" i="48" s="1"/>
  <c r="AE52" i="45"/>
  <c r="T52" i="45"/>
  <c r="S47" i="47"/>
  <c r="S57" i="47"/>
  <c r="S56" i="47"/>
  <c r="S60" i="47"/>
  <c r="S50" i="47"/>
  <c r="S61" i="47"/>
  <c r="S51" i="47"/>
  <c r="S58" i="47"/>
  <c r="S52" i="47"/>
  <c r="S46" i="47"/>
  <c r="S59" i="47"/>
  <c r="R57" i="47"/>
  <c r="Q43" i="48"/>
  <c r="Q45" i="48" s="1"/>
  <c r="T29" i="44" s="1"/>
  <c r="Q86" i="48"/>
  <c r="Q88" i="48" s="1"/>
  <c r="Q90" i="48" s="1"/>
  <c r="Q52" i="48"/>
  <c r="Q53" i="48" s="1"/>
  <c r="T37" i="44" s="1"/>
  <c r="AK52" i="45"/>
  <c r="U52" i="45"/>
  <c r="AA57" i="47"/>
  <c r="AA58" i="47"/>
  <c r="AA51" i="47"/>
  <c r="AA46" i="47"/>
  <c r="AA52" i="47"/>
  <c r="AA61" i="47"/>
  <c r="AA47" i="47"/>
  <c r="AA59" i="47"/>
  <c r="AA60" i="47"/>
  <c r="AA56" i="47"/>
  <c r="AA50" i="47"/>
  <c r="AF60" i="47"/>
  <c r="AF50" i="47"/>
  <c r="AF59" i="47"/>
  <c r="AF61" i="47"/>
  <c r="AJ52" i="48"/>
  <c r="AJ53" i="48" s="1"/>
  <c r="AJ86" i="48"/>
  <c r="AJ88" i="48" s="1"/>
  <c r="AJ90" i="48" s="1"/>
  <c r="AJ43" i="48"/>
  <c r="AJ45" i="48" s="1"/>
  <c r="AB86" i="48"/>
  <c r="AB88" i="48" s="1"/>
  <c r="AB90" i="48" s="1"/>
  <c r="AB43" i="48"/>
  <c r="AB45" i="48" s="1"/>
  <c r="AE29" i="44" s="1"/>
  <c r="AB52" i="48"/>
  <c r="AB53" i="48" s="1"/>
  <c r="AE37" i="44" s="1"/>
  <c r="T52" i="48"/>
  <c r="T53" i="48" s="1"/>
  <c r="W37" i="44" s="1"/>
  <c r="T43" i="48"/>
  <c r="T45" i="48" s="1"/>
  <c r="W29" i="44" s="1"/>
  <c r="T86" i="48"/>
  <c r="T88" i="48" s="1"/>
  <c r="T90" i="48" s="1"/>
  <c r="L86" i="48"/>
  <c r="L88" i="48" s="1"/>
  <c r="L90" i="48" s="1"/>
  <c r="L52" i="48"/>
  <c r="L53" i="48" s="1"/>
  <c r="O37" i="44" s="1"/>
  <c r="L43" i="48"/>
  <c r="L45" i="48" s="1"/>
  <c r="O29" i="44" s="1"/>
  <c r="H56" i="47"/>
  <c r="H60" i="47"/>
  <c r="H50" i="47"/>
  <c r="H46" i="47"/>
  <c r="H57" i="47"/>
  <c r="H51" i="47"/>
  <c r="AD52" i="45"/>
  <c r="Y52" i="45"/>
  <c r="V52" i="45"/>
  <c r="N52" i="45"/>
  <c r="AG86" i="48"/>
  <c r="AG88" i="48" s="1"/>
  <c r="AG90" i="48" s="1"/>
  <c r="AG52" i="48"/>
  <c r="AG53" i="48" s="1"/>
  <c r="AJ37" i="44" s="1"/>
  <c r="AG43" i="48"/>
  <c r="AG45" i="48" s="1"/>
  <c r="AJ29" i="44" s="1"/>
  <c r="J43" i="48"/>
  <c r="J45" i="48" s="1"/>
  <c r="J52" i="48"/>
  <c r="J53" i="48" s="1"/>
  <c r="J86" i="48"/>
  <c r="J88" i="48" s="1"/>
  <c r="J90" i="48" s="1"/>
  <c r="X52" i="45"/>
  <c r="Q56" i="47"/>
  <c r="Q60" i="47"/>
  <c r="Q58" i="47"/>
  <c r="Q47" i="47"/>
  <c r="Q61" i="47"/>
  <c r="Q50" i="47"/>
  <c r="Q57" i="47"/>
  <c r="Q46" i="47"/>
  <c r="Q51" i="47"/>
  <c r="Q59" i="47"/>
  <c r="Q52" i="47"/>
  <c r="AI52" i="48"/>
  <c r="AI53" i="48" s="1"/>
  <c r="AI86" i="48"/>
  <c r="AI88" i="48" s="1"/>
  <c r="AI90" i="48" s="1"/>
  <c r="AI43" i="48"/>
  <c r="AI45" i="48" s="1"/>
  <c r="AA43" i="48"/>
  <c r="AA45" i="48" s="1"/>
  <c r="AD29" i="44" s="1"/>
  <c r="AA86" i="48"/>
  <c r="AA88" i="48" s="1"/>
  <c r="AA90" i="48" s="1"/>
  <c r="AA52" i="48"/>
  <c r="AA53" i="48" s="1"/>
  <c r="AD37" i="44" s="1"/>
  <c r="S43" i="48"/>
  <c r="S45" i="48" s="1"/>
  <c r="V29" i="44" s="1"/>
  <c r="S86" i="48"/>
  <c r="S88" i="48" s="1"/>
  <c r="S90" i="48" s="1"/>
  <c r="S52" i="48"/>
  <c r="S53" i="48" s="1"/>
  <c r="V37" i="44" s="1"/>
  <c r="AG52" i="45"/>
  <c r="S52" i="45"/>
  <c r="Q52" i="45"/>
  <c r="K52" i="45"/>
  <c r="I61" i="47"/>
  <c r="I46" i="47"/>
  <c r="I51" i="47"/>
  <c r="I47" i="47"/>
  <c r="I57" i="47"/>
  <c r="I60" i="47"/>
  <c r="I59" i="47"/>
  <c r="I50" i="47"/>
  <c r="I52" i="47"/>
  <c r="I56" i="47"/>
  <c r="I58" i="47"/>
  <c r="AD59" i="47"/>
  <c r="AJ58" i="47"/>
  <c r="AJ50" i="47"/>
  <c r="AJ61" i="47"/>
  <c r="AH52" i="48"/>
  <c r="AH53" i="48" s="1"/>
  <c r="AH43" i="48"/>
  <c r="AH45" i="48" s="1"/>
  <c r="AH86" i="48"/>
  <c r="AH88" i="48" s="1"/>
  <c r="AH90" i="48" s="1"/>
  <c r="Z52" i="48"/>
  <c r="Z53" i="48" s="1"/>
  <c r="AC37" i="44" s="1"/>
  <c r="Z86" i="48"/>
  <c r="Z88" i="48" s="1"/>
  <c r="Z90" i="48" s="1"/>
  <c r="Z43" i="48"/>
  <c r="Z45" i="48" s="1"/>
  <c r="AC29" i="44" s="1"/>
  <c r="R52" i="48"/>
  <c r="R53" i="48" s="1"/>
  <c r="U37" i="44" s="1"/>
  <c r="R43" i="48"/>
  <c r="R45" i="48" s="1"/>
  <c r="U29" i="44" s="1"/>
  <c r="R86" i="48"/>
  <c r="R88" i="48" s="1"/>
  <c r="R90" i="48" s="1"/>
  <c r="Y59" i="47"/>
  <c r="Y47" i="47"/>
  <c r="Y60" i="47"/>
  <c r="Y52" i="47"/>
  <c r="Y61" i="47"/>
  <c r="Y56" i="47"/>
  <c r="Y57" i="47"/>
  <c r="Y58" i="47"/>
  <c r="Y51" i="47"/>
  <c r="Y46" i="47"/>
  <c r="Y50" i="47"/>
  <c r="AI52" i="45"/>
  <c r="AF52" i="45"/>
  <c r="H49" i="45"/>
  <c r="H50" i="45" s="1"/>
  <c r="L49" i="45"/>
  <c r="L50" i="45" s="1"/>
  <c r="L56" i="45" s="1"/>
  <c r="K49" i="45"/>
  <c r="K50" i="45" s="1"/>
  <c r="K56" i="45" s="1"/>
  <c r="J49" i="45"/>
  <c r="J50" i="45" s="1"/>
  <c r="J56" i="45" s="1"/>
  <c r="I49" i="45"/>
  <c r="I50" i="45" s="1"/>
  <c r="M49" i="45"/>
  <c r="M50" i="45" s="1"/>
  <c r="M56" i="45" s="1"/>
  <c r="N49" i="45"/>
  <c r="N50" i="45" s="1"/>
  <c r="N56" i="45" s="1"/>
  <c r="O49" i="45"/>
  <c r="O50" i="45" s="1"/>
  <c r="O56" i="45" s="1"/>
  <c r="P49" i="45"/>
  <c r="P50" i="45" s="1"/>
  <c r="P56" i="45" s="1"/>
  <c r="Q49" i="45"/>
  <c r="Q50" i="45" s="1"/>
  <c r="Q56" i="45" s="1"/>
  <c r="R49" i="45"/>
  <c r="R50" i="45" s="1"/>
  <c r="R56" i="45" s="1"/>
  <c r="S49" i="45"/>
  <c r="S50" i="45" s="1"/>
  <c r="S56" i="45" s="1"/>
  <c r="T49" i="45"/>
  <c r="T50" i="45" s="1"/>
  <c r="T56" i="45" s="1"/>
  <c r="U49" i="45"/>
  <c r="U50" i="45" s="1"/>
  <c r="U56" i="45" s="1"/>
  <c r="V49" i="45"/>
  <c r="V50" i="45" s="1"/>
  <c r="V56" i="45" s="1"/>
  <c r="W49" i="45"/>
  <c r="W50" i="45" s="1"/>
  <c r="W56" i="45" s="1"/>
  <c r="X49" i="45"/>
  <c r="X50" i="45" s="1"/>
  <c r="X56" i="45" s="1"/>
  <c r="Y49" i="45"/>
  <c r="Y50" i="45" s="1"/>
  <c r="Y56" i="45" s="1"/>
  <c r="Z49" i="45"/>
  <c r="Z50" i="45" s="1"/>
  <c r="Z56" i="45" s="1"/>
  <c r="AA49" i="45"/>
  <c r="AA50" i="45" s="1"/>
  <c r="AA56" i="45" s="1"/>
  <c r="AB49" i="45"/>
  <c r="AB50" i="45" s="1"/>
  <c r="AB56" i="45" s="1"/>
  <c r="AC49" i="45"/>
  <c r="AC50" i="45" s="1"/>
  <c r="AC56" i="45" s="1"/>
  <c r="AD49" i="45"/>
  <c r="AD50" i="45" s="1"/>
  <c r="AD56" i="45" s="1"/>
  <c r="AE49" i="45"/>
  <c r="AE50" i="45" s="1"/>
  <c r="AE56" i="45" s="1"/>
  <c r="AF49" i="45"/>
  <c r="AF50" i="45" s="1"/>
  <c r="AF56" i="45" s="1"/>
  <c r="AG49" i="45"/>
  <c r="AG50" i="45" s="1"/>
  <c r="AG56" i="45" s="1"/>
  <c r="AH49" i="45"/>
  <c r="AH50" i="45" s="1"/>
  <c r="AH56" i="45" s="1"/>
  <c r="AI49" i="45"/>
  <c r="AI50" i="45" s="1"/>
  <c r="AI56" i="45" s="1"/>
  <c r="AJ49" i="45"/>
  <c r="AJ50" i="45" s="1"/>
  <c r="AJ56" i="45" s="1"/>
  <c r="AK49" i="45"/>
  <c r="AK50" i="45" s="1"/>
  <c r="AK56" i="45" s="1"/>
  <c r="J52" i="45"/>
  <c r="Y34" i="41"/>
  <c r="Y39" i="41" s="1"/>
  <c r="Y33" i="41"/>
  <c r="U33" i="41"/>
  <c r="U34" i="41"/>
  <c r="U39" i="41" s="1"/>
  <c r="AD33" i="41"/>
  <c r="AD34" i="41"/>
  <c r="AD39" i="41" s="1"/>
  <c r="AJ34" i="41"/>
  <c r="AJ39" i="41" s="1"/>
  <c r="AJ33" i="41"/>
  <c r="AH34" i="41"/>
  <c r="AH39" i="41" s="1"/>
  <c r="AH33" i="41"/>
  <c r="AE33" i="41"/>
  <c r="AE34" i="41"/>
  <c r="AE39" i="41" s="1"/>
  <c r="AB34" i="41"/>
  <c r="AB39" i="41" s="1"/>
  <c r="AB33" i="41"/>
  <c r="Z33" i="41"/>
  <c r="Z34" i="41"/>
  <c r="Z39" i="41" s="1"/>
  <c r="T34" i="41"/>
  <c r="T39" i="41" s="1"/>
  <c r="T33" i="41"/>
  <c r="AG34" i="41"/>
  <c r="AG39" i="41" s="1"/>
  <c r="AG33" i="41"/>
  <c r="AI34" i="41"/>
  <c r="AI39" i="41" s="1"/>
  <c r="AI33" i="41"/>
  <c r="AA34" i="41"/>
  <c r="AA39" i="41" s="1"/>
  <c r="AA33" i="41"/>
  <c r="AK33" i="41"/>
  <c r="AK34" i="41"/>
  <c r="AK39" i="41" s="1"/>
  <c r="S34" i="41"/>
  <c r="S39" i="41" s="1"/>
  <c r="S33" i="41"/>
  <c r="X34" i="41"/>
  <c r="X39" i="41" s="1"/>
  <c r="X33" i="41"/>
  <c r="AF34" i="41"/>
  <c r="AF39" i="41" s="1"/>
  <c r="AF33" i="41"/>
  <c r="AC33" i="41"/>
  <c r="AC34" i="41"/>
  <c r="AC39" i="41" s="1"/>
  <c r="V33" i="41"/>
  <c r="V34" i="41"/>
  <c r="V39" i="41" s="1"/>
  <c r="W33" i="41"/>
  <c r="W34" i="41"/>
  <c r="W39" i="41" s="1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S49" i="42"/>
  <c r="U49" i="42"/>
  <c r="T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S47" i="40"/>
  <c r="T47" i="40"/>
  <c r="V47" i="40"/>
  <c r="U47" i="40"/>
  <c r="W47" i="40"/>
  <c r="X47" i="40"/>
  <c r="Y47" i="40"/>
  <c r="Z47" i="40"/>
  <c r="AA47" i="40"/>
  <c r="AB47" i="40"/>
  <c r="AC47" i="40"/>
  <c r="AD47" i="40"/>
  <c r="AE47" i="40"/>
  <c r="AF47" i="40"/>
  <c r="AG47" i="40"/>
  <c r="AH47" i="40"/>
  <c r="AI47" i="40"/>
  <c r="AJ47" i="40"/>
  <c r="AK47" i="40"/>
  <c r="S46" i="40"/>
  <c r="T46" i="40"/>
  <c r="V46" i="40"/>
  <c r="U46" i="40"/>
  <c r="W46" i="40"/>
  <c r="X46" i="40"/>
  <c r="Y46" i="40"/>
  <c r="Z46" i="40"/>
  <c r="AA46" i="40"/>
  <c r="AB46" i="40"/>
  <c r="AC46" i="40"/>
  <c r="AD46" i="40"/>
  <c r="AE46" i="40"/>
  <c r="AF46" i="40"/>
  <c r="AG46" i="40"/>
  <c r="AH46" i="40"/>
  <c r="AI46" i="40"/>
  <c r="AJ46" i="40"/>
  <c r="AK46" i="40"/>
  <c r="S40" i="40"/>
  <c r="T40" i="40"/>
  <c r="U40" i="40"/>
  <c r="V40" i="40"/>
  <c r="W40" i="40"/>
  <c r="X40" i="40"/>
  <c r="Y40" i="40"/>
  <c r="Z40" i="40"/>
  <c r="AA40" i="40"/>
  <c r="AB40" i="40"/>
  <c r="AC40" i="40"/>
  <c r="AD40" i="40"/>
  <c r="AE40" i="40"/>
  <c r="AF40" i="40"/>
  <c r="AG40" i="40"/>
  <c r="AH40" i="40"/>
  <c r="AI40" i="40"/>
  <c r="AJ40" i="40"/>
  <c r="AK40" i="40"/>
  <c r="AK63" i="40"/>
  <c r="T48" i="40"/>
  <c r="S48" i="40"/>
  <c r="V48" i="40"/>
  <c r="U48" i="40"/>
  <c r="W48" i="40"/>
  <c r="X48" i="40"/>
  <c r="Y48" i="40"/>
  <c r="Z48" i="40"/>
  <c r="AA48" i="40"/>
  <c r="AB48" i="40"/>
  <c r="AC48" i="40"/>
  <c r="AD48" i="40"/>
  <c r="AE48" i="40"/>
  <c r="AF48" i="40"/>
  <c r="AG48" i="40"/>
  <c r="AH48" i="40"/>
  <c r="AI48" i="40"/>
  <c r="AJ48" i="40"/>
  <c r="AK48" i="40"/>
  <c r="O33" i="41"/>
  <c r="O34" i="41"/>
  <c r="O39" i="41" s="1"/>
  <c r="K50" i="42"/>
  <c r="L50" i="42"/>
  <c r="I50" i="42"/>
  <c r="H50" i="42"/>
  <c r="J50" i="42"/>
  <c r="M50" i="42"/>
  <c r="N50" i="42"/>
  <c r="O50" i="42"/>
  <c r="P50" i="42"/>
  <c r="Q50" i="42"/>
  <c r="R50" i="42"/>
  <c r="I46" i="40"/>
  <c r="K46" i="40"/>
  <c r="H46" i="40"/>
  <c r="J46" i="40"/>
  <c r="L46" i="40"/>
  <c r="M46" i="40"/>
  <c r="N46" i="40"/>
  <c r="O46" i="40"/>
  <c r="P46" i="40"/>
  <c r="Q46" i="40"/>
  <c r="R46" i="40"/>
  <c r="H34" i="41"/>
  <c r="H39" i="41" s="1"/>
  <c r="H33" i="41"/>
  <c r="M21" i="40"/>
  <c r="M22" i="40" s="1"/>
  <c r="J40" i="40"/>
  <c r="M13" i="40"/>
  <c r="M14" i="40" s="1"/>
  <c r="N12" i="40"/>
  <c r="K40" i="40"/>
  <c r="I40" i="40"/>
  <c r="H40" i="40"/>
  <c r="L40" i="40"/>
  <c r="M40" i="40"/>
  <c r="N40" i="40"/>
  <c r="O40" i="40"/>
  <c r="P40" i="40"/>
  <c r="Q40" i="40"/>
  <c r="R40" i="40"/>
  <c r="J33" i="41"/>
  <c r="J34" i="41"/>
  <c r="J39" i="41" s="1"/>
  <c r="K33" i="41"/>
  <c r="K34" i="41"/>
  <c r="K39" i="41" s="1"/>
  <c r="N34" i="41"/>
  <c r="N39" i="41" s="1"/>
  <c r="N33" i="41"/>
  <c r="Q34" i="41"/>
  <c r="Q39" i="41" s="1"/>
  <c r="Q33" i="41"/>
  <c r="L34" i="41"/>
  <c r="L39" i="41" s="1"/>
  <c r="L33" i="41"/>
  <c r="H49" i="42"/>
  <c r="K49" i="42"/>
  <c r="L49" i="42"/>
  <c r="I49" i="42"/>
  <c r="J49" i="42"/>
  <c r="M49" i="42"/>
  <c r="N49" i="42"/>
  <c r="O49" i="42"/>
  <c r="P49" i="42"/>
  <c r="Q49" i="42"/>
  <c r="R49" i="42"/>
  <c r="H47" i="40"/>
  <c r="I47" i="40"/>
  <c r="K47" i="40"/>
  <c r="J47" i="40"/>
  <c r="L47" i="40"/>
  <c r="M47" i="40"/>
  <c r="N47" i="40"/>
  <c r="O47" i="40"/>
  <c r="P47" i="40"/>
  <c r="Q47" i="40"/>
  <c r="R47" i="40"/>
  <c r="M34" i="41"/>
  <c r="M39" i="41" s="1"/>
  <c r="M33" i="41"/>
  <c r="I48" i="42"/>
  <c r="L48" i="42"/>
  <c r="K48" i="42"/>
  <c r="J48" i="42"/>
  <c r="H48" i="42"/>
  <c r="M48" i="42"/>
  <c r="N48" i="42"/>
  <c r="O48" i="42"/>
  <c r="P48" i="42"/>
  <c r="Q48" i="42"/>
  <c r="R48" i="42"/>
  <c r="P34" i="41"/>
  <c r="P39" i="41" s="1"/>
  <c r="P33" i="41"/>
  <c r="R34" i="41"/>
  <c r="R39" i="41" s="1"/>
  <c r="R33" i="41"/>
  <c r="I48" i="40"/>
  <c r="J48" i="40"/>
  <c r="K48" i="40"/>
  <c r="H48" i="40"/>
  <c r="L48" i="40"/>
  <c r="M48" i="40"/>
  <c r="N48" i="40"/>
  <c r="O48" i="40"/>
  <c r="P48" i="40"/>
  <c r="Q48" i="40"/>
  <c r="R48" i="40"/>
  <c r="J42" i="42"/>
  <c r="I42" i="42"/>
  <c r="H42" i="42"/>
  <c r="N12" i="42"/>
  <c r="L42" i="42"/>
  <c r="K42" i="42"/>
  <c r="M13" i="42"/>
  <c r="M14" i="42" s="1"/>
  <c r="M21" i="42"/>
  <c r="M22" i="42" s="1"/>
  <c r="M42" i="42"/>
  <c r="N42" i="42"/>
  <c r="O42" i="42"/>
  <c r="P42" i="42"/>
  <c r="Q42" i="42"/>
  <c r="R42" i="42"/>
  <c r="I33" i="41"/>
  <c r="I34" i="41"/>
  <c r="I39" i="41" s="1"/>
  <c r="G18" i="35"/>
  <c r="H12" i="35"/>
  <c r="V59" i="47" l="1"/>
  <c r="V56" i="47"/>
  <c r="AJ60" i="47"/>
  <c r="AJ52" i="47"/>
  <c r="AJ51" i="47"/>
  <c r="AJ47" i="47"/>
  <c r="AJ46" i="47"/>
  <c r="AB46" i="47"/>
  <c r="AB48" i="47" s="1"/>
  <c r="AE28" i="44" s="1"/>
  <c r="R60" i="47"/>
  <c r="R51" i="47"/>
  <c r="R61" i="47"/>
  <c r="R59" i="47"/>
  <c r="R58" i="47"/>
  <c r="T51" i="47"/>
  <c r="AB61" i="47"/>
  <c r="AB58" i="47"/>
  <c r="AB60" i="47"/>
  <c r="AB50" i="47"/>
  <c r="AJ56" i="47"/>
  <c r="X52" i="47"/>
  <c r="AB59" i="47"/>
  <c r="AB57" i="47"/>
  <c r="K57" i="47"/>
  <c r="AB51" i="47"/>
  <c r="AB56" i="47"/>
  <c r="K60" i="47"/>
  <c r="AJ57" i="47"/>
  <c r="L59" i="47"/>
  <c r="K46" i="47"/>
  <c r="V58" i="47"/>
  <c r="L58" i="47"/>
  <c r="K58" i="47"/>
  <c r="V52" i="47"/>
  <c r="D16" i="57"/>
  <c r="D17" i="57" s="1"/>
  <c r="D21" i="57"/>
  <c r="I34" i="57"/>
  <c r="J14" i="57" s="1"/>
  <c r="K61" i="47"/>
  <c r="V47" i="47"/>
  <c r="G16" i="57"/>
  <c r="G17" i="57" s="1"/>
  <c r="G21" i="57"/>
  <c r="V61" i="47"/>
  <c r="L50" i="47"/>
  <c r="K56" i="47"/>
  <c r="K59" i="47"/>
  <c r="L46" i="47"/>
  <c r="L47" i="47"/>
  <c r="L52" i="47"/>
  <c r="L60" i="47"/>
  <c r="K47" i="47"/>
  <c r="L51" i="47"/>
  <c r="K51" i="47"/>
  <c r="L61" i="47"/>
  <c r="K50" i="47"/>
  <c r="AC56" i="47"/>
  <c r="V51" i="47"/>
  <c r="V46" i="47"/>
  <c r="AD57" i="47"/>
  <c r="AD60" i="47"/>
  <c r="AD47" i="47"/>
  <c r="AD61" i="47"/>
  <c r="AD46" i="47"/>
  <c r="AD50" i="47"/>
  <c r="AD58" i="47"/>
  <c r="AD51" i="47"/>
  <c r="AD56" i="47"/>
  <c r="V57" i="47"/>
  <c r="AF51" i="47"/>
  <c r="AF53" i="47" s="1"/>
  <c r="AF47" i="47"/>
  <c r="R52" i="47"/>
  <c r="AF46" i="47"/>
  <c r="AF56" i="47"/>
  <c r="AF57" i="47"/>
  <c r="AF58" i="47"/>
  <c r="H61" i="47"/>
  <c r="H52" i="47"/>
  <c r="H53" i="47" s="1"/>
  <c r="R46" i="47"/>
  <c r="R47" i="47"/>
  <c r="T47" i="47"/>
  <c r="H47" i="47"/>
  <c r="R50" i="47"/>
  <c r="H58" i="47"/>
  <c r="H59" i="47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W21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AJ21" i="44"/>
  <c r="L44" i="28"/>
  <c r="J44" i="28"/>
  <c r="K44" i="28"/>
  <c r="N46" i="47"/>
  <c r="N59" i="47"/>
  <c r="AK47" i="47"/>
  <c r="AK48" i="47" s="1"/>
  <c r="N52" i="47"/>
  <c r="AC58" i="47"/>
  <c r="AK50" i="47"/>
  <c r="N51" i="47"/>
  <c r="AC51" i="47"/>
  <c r="AK51" i="47"/>
  <c r="N50" i="47"/>
  <c r="AC52" i="47"/>
  <c r="N47" i="47"/>
  <c r="N57" i="47"/>
  <c r="AC59" i="47"/>
  <c r="N60" i="47"/>
  <c r="N58" i="47"/>
  <c r="AC46" i="47"/>
  <c r="N56" i="47"/>
  <c r="AC50" i="47"/>
  <c r="H53" i="45"/>
  <c r="H57" i="45" s="1"/>
  <c r="H56" i="45"/>
  <c r="I53" i="45"/>
  <c r="I55" i="45" s="1"/>
  <c r="I56" i="45"/>
  <c r="AG53" i="45"/>
  <c r="AJ25" i="44" s="1"/>
  <c r="W53" i="45"/>
  <c r="Z25" i="44" s="1"/>
  <c r="AB60" i="39"/>
  <c r="AB62" i="39"/>
  <c r="AB86" i="39"/>
  <c r="AB87" i="39"/>
  <c r="AB71" i="39"/>
  <c r="AB72" i="39"/>
  <c r="AC39" i="39"/>
  <c r="AA74" i="39"/>
  <c r="X46" i="47"/>
  <c r="X56" i="47"/>
  <c r="X51" i="47"/>
  <c r="X53" i="47" s="1"/>
  <c r="X47" i="47"/>
  <c r="X57" i="47"/>
  <c r="X60" i="47"/>
  <c r="X61" i="47"/>
  <c r="X58" i="47"/>
  <c r="X59" i="47"/>
  <c r="Z61" i="47"/>
  <c r="G45" i="28"/>
  <c r="F45" i="28"/>
  <c r="F48" i="28" s="1"/>
  <c r="T50" i="47"/>
  <c r="T57" i="47"/>
  <c r="Z46" i="47"/>
  <c r="T56" i="47"/>
  <c r="T58" i="47"/>
  <c r="Z52" i="47"/>
  <c r="Z60" i="47"/>
  <c r="T60" i="47"/>
  <c r="Z58" i="47"/>
  <c r="Z59" i="47"/>
  <c r="T59" i="47"/>
  <c r="Z51" i="47"/>
  <c r="Z47" i="47"/>
  <c r="T61" i="47"/>
  <c r="Z56" i="47"/>
  <c r="T46" i="47"/>
  <c r="Z57" i="47"/>
  <c r="P58" i="47"/>
  <c r="P61" i="47"/>
  <c r="P46" i="47"/>
  <c r="P50" i="47"/>
  <c r="P56" i="47"/>
  <c r="P47" i="47"/>
  <c r="P51" i="47"/>
  <c r="P52" i="47"/>
  <c r="P59" i="47"/>
  <c r="P57" i="47"/>
  <c r="AK57" i="47"/>
  <c r="AK60" i="47"/>
  <c r="AK58" i="47"/>
  <c r="AK59" i="47"/>
  <c r="AK61" i="47"/>
  <c r="AK56" i="47"/>
  <c r="AK52" i="47"/>
  <c r="J48" i="47"/>
  <c r="AC57" i="47"/>
  <c r="AC47" i="47"/>
  <c r="AC61" i="47"/>
  <c r="Z53" i="45"/>
  <c r="AC25" i="44" s="1"/>
  <c r="U53" i="45"/>
  <c r="X25" i="44" s="1"/>
  <c r="AH53" i="45"/>
  <c r="AH55" i="45" s="1"/>
  <c r="AB53" i="45"/>
  <c r="AE25" i="44" s="1"/>
  <c r="Y53" i="45"/>
  <c r="AB25" i="44" s="1"/>
  <c r="AJ53" i="45"/>
  <c r="AJ55" i="45" s="1"/>
  <c r="AE53" i="45"/>
  <c r="AH25" i="44" s="1"/>
  <c r="AG48" i="47"/>
  <c r="AJ28" i="44" s="1"/>
  <c r="N53" i="45"/>
  <c r="Q25" i="44" s="1"/>
  <c r="Q53" i="45"/>
  <c r="T25" i="44" s="1"/>
  <c r="O53" i="45"/>
  <c r="R25" i="44" s="1"/>
  <c r="AC53" i="45"/>
  <c r="AF25" i="44" s="1"/>
  <c r="AD53" i="45"/>
  <c r="AG25" i="44" s="1"/>
  <c r="O48" i="47"/>
  <c r="R28" i="44" s="1"/>
  <c r="AI53" i="45"/>
  <c r="AI55" i="45" s="1"/>
  <c r="AE48" i="47"/>
  <c r="AH28" i="44" s="1"/>
  <c r="V53" i="45"/>
  <c r="Y25" i="44" s="1"/>
  <c r="Q48" i="47"/>
  <c r="T28" i="44" s="1"/>
  <c r="M53" i="45"/>
  <c r="P25" i="44" s="1"/>
  <c r="T53" i="45"/>
  <c r="W25" i="44" s="1"/>
  <c r="S48" i="47"/>
  <c r="V28" i="44" s="1"/>
  <c r="AA53" i="45"/>
  <c r="AD25" i="44" s="1"/>
  <c r="S53" i="45"/>
  <c r="V25" i="44" s="1"/>
  <c r="AI53" i="47"/>
  <c r="X53" i="45"/>
  <c r="AA25" i="44" s="1"/>
  <c r="AJ48" i="47"/>
  <c r="AH55" i="48"/>
  <c r="AJ53" i="47"/>
  <c r="AF48" i="47"/>
  <c r="AI28" i="44" s="1"/>
  <c r="AA48" i="47"/>
  <c r="AD28" i="44" s="1"/>
  <c r="W48" i="47"/>
  <c r="Z28" i="44" s="1"/>
  <c r="AK53" i="45"/>
  <c r="S53" i="47"/>
  <c r="M48" i="47"/>
  <c r="P28" i="44" s="1"/>
  <c r="AH62" i="47"/>
  <c r="J62" i="47"/>
  <c r="I53" i="47"/>
  <c r="H48" i="47"/>
  <c r="AJ55" i="48"/>
  <c r="AH48" i="47"/>
  <c r="U48" i="47"/>
  <c r="X28" i="44" s="1"/>
  <c r="AI48" i="47"/>
  <c r="R53" i="45"/>
  <c r="U25" i="44" s="1"/>
  <c r="K53" i="45"/>
  <c r="Q62" i="47"/>
  <c r="L53" i="45"/>
  <c r="O25" i="44" s="1"/>
  <c r="AK55" i="48"/>
  <c r="AG62" i="47"/>
  <c r="H55" i="48"/>
  <c r="Y48" i="47"/>
  <c r="AB28" i="44" s="1"/>
  <c r="P53" i="45"/>
  <c r="S25" i="44" s="1"/>
  <c r="I48" i="47"/>
  <c r="U53" i="47"/>
  <c r="Y57" i="45"/>
  <c r="M55" i="48"/>
  <c r="M61" i="48" s="1"/>
  <c r="M65" i="48" s="1"/>
  <c r="K55" i="48"/>
  <c r="K61" i="48" s="1"/>
  <c r="K65" i="48" s="1"/>
  <c r="AF55" i="48"/>
  <c r="AB55" i="48"/>
  <c r="L55" i="48"/>
  <c r="L61" i="48" s="1"/>
  <c r="L65" i="48" s="1"/>
  <c r="AA55" i="48"/>
  <c r="W55" i="48"/>
  <c r="AF53" i="45"/>
  <c r="AI25" i="44" s="1"/>
  <c r="S55" i="48"/>
  <c r="AI55" i="48"/>
  <c r="O62" i="47"/>
  <c r="AE53" i="47"/>
  <c r="AI62" i="47"/>
  <c r="Y55" i="48"/>
  <c r="H58" i="48"/>
  <c r="Q55" i="48"/>
  <c r="Q61" i="48" s="1"/>
  <c r="I55" i="48"/>
  <c r="I61" i="48" s="1"/>
  <c r="I65" i="48" s="1"/>
  <c r="U55" i="48"/>
  <c r="W53" i="47"/>
  <c r="AG53" i="47"/>
  <c r="P55" i="48"/>
  <c r="P61" i="48" s="1"/>
  <c r="P65" i="48" s="1"/>
  <c r="R55" i="48"/>
  <c r="R61" i="48" s="1"/>
  <c r="Q53" i="47"/>
  <c r="J55" i="48"/>
  <c r="J61" i="48" s="1"/>
  <c r="J65" i="48" s="1"/>
  <c r="S62" i="47"/>
  <c r="M62" i="47"/>
  <c r="N55" i="48"/>
  <c r="N61" i="48" s="1"/>
  <c r="N65" i="48" s="1"/>
  <c r="AD55" i="48"/>
  <c r="O55" i="48"/>
  <c r="O61" i="48" s="1"/>
  <c r="O65" i="48" s="1"/>
  <c r="AE55" i="48"/>
  <c r="J53" i="45"/>
  <c r="Y62" i="47"/>
  <c r="AG55" i="48"/>
  <c r="AC55" i="48"/>
  <c r="V53" i="47"/>
  <c r="Z55" i="48"/>
  <c r="I62" i="47"/>
  <c r="AE62" i="47"/>
  <c r="J53" i="47"/>
  <c r="U62" i="47"/>
  <c r="X55" i="48"/>
  <c r="AA53" i="47"/>
  <c r="M53" i="47"/>
  <c r="W62" i="47"/>
  <c r="V55" i="48"/>
  <c r="Y53" i="47"/>
  <c r="T55" i="48"/>
  <c r="AA62" i="47"/>
  <c r="O53" i="47"/>
  <c r="AH53" i="47"/>
  <c r="W44" i="41"/>
  <c r="W54" i="41"/>
  <c r="W41" i="41"/>
  <c r="W51" i="41"/>
  <c r="W40" i="41"/>
  <c r="W45" i="41"/>
  <c r="W52" i="41"/>
  <c r="W55" i="41"/>
  <c r="W50" i="41"/>
  <c r="W53" i="41"/>
  <c r="W46" i="41"/>
  <c r="AD50" i="41"/>
  <c r="AD52" i="41"/>
  <c r="AD53" i="41"/>
  <c r="AD45" i="41"/>
  <c r="AD44" i="41"/>
  <c r="AD55" i="41"/>
  <c r="AD46" i="41"/>
  <c r="AD40" i="41"/>
  <c r="AD41" i="41"/>
  <c r="AD51" i="41"/>
  <c r="AD54" i="41"/>
  <c r="S50" i="41"/>
  <c r="S40" i="41"/>
  <c r="S46" i="41"/>
  <c r="S51" i="41"/>
  <c r="S45" i="41"/>
  <c r="S44" i="41"/>
  <c r="S54" i="41"/>
  <c r="S53" i="41"/>
  <c r="S41" i="41"/>
  <c r="S55" i="41"/>
  <c r="S52" i="41"/>
  <c r="AG46" i="41"/>
  <c r="AG51" i="41"/>
  <c r="AG53" i="41"/>
  <c r="AG41" i="41"/>
  <c r="AG44" i="41"/>
  <c r="AG50" i="41"/>
  <c r="AG40" i="41"/>
  <c r="AG52" i="41"/>
  <c r="AG54" i="41"/>
  <c r="AG45" i="41"/>
  <c r="AG55" i="41"/>
  <c r="V51" i="41"/>
  <c r="V54" i="41"/>
  <c r="V40" i="41"/>
  <c r="V44" i="41"/>
  <c r="V41" i="41"/>
  <c r="V50" i="41"/>
  <c r="V52" i="41"/>
  <c r="V53" i="41"/>
  <c r="V45" i="41"/>
  <c r="V46" i="41"/>
  <c r="V55" i="41"/>
  <c r="AE44" i="41"/>
  <c r="AE54" i="41"/>
  <c r="AE45" i="41"/>
  <c r="AE52" i="41"/>
  <c r="AE55" i="41"/>
  <c r="AE41" i="41"/>
  <c r="AE51" i="41"/>
  <c r="AE50" i="41"/>
  <c r="AE46" i="41"/>
  <c r="AE40" i="41"/>
  <c r="AE53" i="41"/>
  <c r="U52" i="41"/>
  <c r="U41" i="41"/>
  <c r="U45" i="41"/>
  <c r="U53" i="41"/>
  <c r="U55" i="41"/>
  <c r="U46" i="41"/>
  <c r="U50" i="41"/>
  <c r="U40" i="41"/>
  <c r="U44" i="41"/>
  <c r="U54" i="41"/>
  <c r="U51" i="41"/>
  <c r="T40" i="41"/>
  <c r="T45" i="41"/>
  <c r="T44" i="41"/>
  <c r="T51" i="41"/>
  <c r="T55" i="41"/>
  <c r="T54" i="41"/>
  <c r="T41" i="41"/>
  <c r="T50" i="41"/>
  <c r="T52" i="41"/>
  <c r="T46" i="41"/>
  <c r="T53" i="41"/>
  <c r="AH44" i="41"/>
  <c r="AH53" i="41"/>
  <c r="AH50" i="41"/>
  <c r="AH51" i="41"/>
  <c r="AH46" i="41"/>
  <c r="AH45" i="41"/>
  <c r="AH40" i="41"/>
  <c r="AH52" i="41"/>
  <c r="AH55" i="41"/>
  <c r="AH41" i="41"/>
  <c r="AH54" i="41"/>
  <c r="AC52" i="41"/>
  <c r="AC41" i="41"/>
  <c r="AC55" i="41"/>
  <c r="AC53" i="41"/>
  <c r="AC50" i="41"/>
  <c r="AC54" i="41"/>
  <c r="AC46" i="41"/>
  <c r="AC40" i="41"/>
  <c r="AC45" i="41"/>
  <c r="AC51" i="41"/>
  <c r="AC44" i="41"/>
  <c r="AK52" i="41"/>
  <c r="AK46" i="41"/>
  <c r="AK50" i="41"/>
  <c r="AK45" i="41"/>
  <c r="AK40" i="41"/>
  <c r="AK55" i="41"/>
  <c r="AK51" i="41"/>
  <c r="AK41" i="41"/>
  <c r="AK44" i="41"/>
  <c r="AK54" i="41"/>
  <c r="AK53" i="41"/>
  <c r="AF40" i="41"/>
  <c r="AF50" i="41"/>
  <c r="AF45" i="41"/>
  <c r="AF53" i="41"/>
  <c r="AF46" i="41"/>
  <c r="AF41" i="41"/>
  <c r="AF44" i="41"/>
  <c r="AF51" i="41"/>
  <c r="AF55" i="41"/>
  <c r="AF52" i="41"/>
  <c r="AF54" i="41"/>
  <c r="AA50" i="41"/>
  <c r="AA44" i="41"/>
  <c r="AA46" i="41"/>
  <c r="AA51" i="41"/>
  <c r="AA54" i="41"/>
  <c r="AA40" i="41"/>
  <c r="AA55" i="41"/>
  <c r="AA41" i="41"/>
  <c r="AA52" i="41"/>
  <c r="AA45" i="41"/>
  <c r="AA53" i="41"/>
  <c r="AJ52" i="41"/>
  <c r="AJ54" i="41"/>
  <c r="AJ44" i="41"/>
  <c r="AJ50" i="41"/>
  <c r="AJ46" i="41"/>
  <c r="AJ41" i="41"/>
  <c r="AJ40" i="41"/>
  <c r="AJ51" i="41"/>
  <c r="AJ53" i="41"/>
  <c r="AJ45" i="41"/>
  <c r="AJ55" i="41"/>
  <c r="Z44" i="41"/>
  <c r="Z53" i="41"/>
  <c r="Z54" i="41"/>
  <c r="Z41" i="41"/>
  <c r="Z45" i="41"/>
  <c r="Z51" i="41"/>
  <c r="Z46" i="41"/>
  <c r="Z50" i="41"/>
  <c r="Z40" i="41"/>
  <c r="Z52" i="41"/>
  <c r="Z55" i="41"/>
  <c r="Y53" i="41"/>
  <c r="Y40" i="41"/>
  <c r="Y51" i="41"/>
  <c r="Y41" i="41"/>
  <c r="Y44" i="41"/>
  <c r="Y52" i="41"/>
  <c r="Y54" i="41"/>
  <c r="Y55" i="41"/>
  <c r="Y45" i="41"/>
  <c r="Y50" i="41"/>
  <c r="Y46" i="41"/>
  <c r="X45" i="41"/>
  <c r="X46" i="41"/>
  <c r="X55" i="41"/>
  <c r="X52" i="41"/>
  <c r="X51" i="41"/>
  <c r="X50" i="41"/>
  <c r="X53" i="41"/>
  <c r="X44" i="41"/>
  <c r="X40" i="41"/>
  <c r="X41" i="41"/>
  <c r="X54" i="41"/>
  <c r="AI50" i="41"/>
  <c r="AI54" i="41"/>
  <c r="AI41" i="41"/>
  <c r="AI52" i="41"/>
  <c r="AI53" i="41"/>
  <c r="AI40" i="41"/>
  <c r="AI55" i="41"/>
  <c r="AI51" i="41"/>
  <c r="AI46" i="41"/>
  <c r="AI45" i="41"/>
  <c r="AI44" i="41"/>
  <c r="AB52" i="41"/>
  <c r="AB53" i="41"/>
  <c r="AB41" i="41"/>
  <c r="AB50" i="41"/>
  <c r="AB46" i="41"/>
  <c r="AB45" i="41"/>
  <c r="AB51" i="41"/>
  <c r="AB44" i="41"/>
  <c r="AB40" i="41"/>
  <c r="AB55" i="41"/>
  <c r="AB54" i="41"/>
  <c r="AH52" i="42"/>
  <c r="AH53" i="42" s="1"/>
  <c r="AH43" i="42"/>
  <c r="AH45" i="42" s="1"/>
  <c r="AH86" i="42"/>
  <c r="AH88" i="42" s="1"/>
  <c r="AH90" i="42" s="1"/>
  <c r="AG86" i="42"/>
  <c r="AG88" i="42" s="1"/>
  <c r="AG90" i="42" s="1"/>
  <c r="AG43" i="42"/>
  <c r="AG45" i="42" s="1"/>
  <c r="AJ29" i="35" s="1"/>
  <c r="AG52" i="42"/>
  <c r="AG53" i="42" s="1"/>
  <c r="AJ37" i="35" s="1"/>
  <c r="Y43" i="42"/>
  <c r="Y45" i="42" s="1"/>
  <c r="AB29" i="35" s="1"/>
  <c r="Y86" i="42"/>
  <c r="Y88" i="42" s="1"/>
  <c r="Y90" i="42" s="1"/>
  <c r="Y52" i="42"/>
  <c r="Y53" i="42" s="1"/>
  <c r="AB37" i="35" s="1"/>
  <c r="Z86" i="42"/>
  <c r="Z88" i="42" s="1"/>
  <c r="Z90" i="42" s="1"/>
  <c r="Z52" i="42"/>
  <c r="Z53" i="42" s="1"/>
  <c r="AC37" i="35" s="1"/>
  <c r="Z43" i="42"/>
  <c r="Z45" i="42" s="1"/>
  <c r="AC29" i="35" s="1"/>
  <c r="AF43" i="42"/>
  <c r="AF45" i="42" s="1"/>
  <c r="AI29" i="35" s="1"/>
  <c r="AF86" i="42"/>
  <c r="AF88" i="42" s="1"/>
  <c r="AF90" i="42" s="1"/>
  <c r="AF52" i="42"/>
  <c r="AF53" i="42" s="1"/>
  <c r="AI37" i="35" s="1"/>
  <c r="X86" i="42"/>
  <c r="X88" i="42" s="1"/>
  <c r="X90" i="42" s="1"/>
  <c r="X43" i="42"/>
  <c r="X45" i="42" s="1"/>
  <c r="AA29" i="35" s="1"/>
  <c r="X52" i="42"/>
  <c r="X53" i="42" s="1"/>
  <c r="AA37" i="35" s="1"/>
  <c r="AE52" i="42"/>
  <c r="AE53" i="42" s="1"/>
  <c r="AH37" i="35" s="1"/>
  <c r="AE43" i="42"/>
  <c r="AE45" i="42" s="1"/>
  <c r="AH29" i="35" s="1"/>
  <c r="AE86" i="42"/>
  <c r="AE88" i="42" s="1"/>
  <c r="AE90" i="42" s="1"/>
  <c r="W43" i="42"/>
  <c r="W45" i="42" s="1"/>
  <c r="Z29" i="35" s="1"/>
  <c r="W86" i="42"/>
  <c r="W88" i="42" s="1"/>
  <c r="W90" i="42" s="1"/>
  <c r="W52" i="42"/>
  <c r="W53" i="42" s="1"/>
  <c r="Z37" i="35" s="1"/>
  <c r="V86" i="42"/>
  <c r="V88" i="42" s="1"/>
  <c r="V90" i="42" s="1"/>
  <c r="V52" i="42"/>
  <c r="V53" i="42" s="1"/>
  <c r="Y37" i="35" s="1"/>
  <c r="V43" i="42"/>
  <c r="V45" i="42" s="1"/>
  <c r="Y29" i="35" s="1"/>
  <c r="AK52" i="42"/>
  <c r="AK53" i="42" s="1"/>
  <c r="AK43" i="42"/>
  <c r="AK45" i="42" s="1"/>
  <c r="AK86" i="42"/>
  <c r="AK88" i="42" s="1"/>
  <c r="AK90" i="42" s="1"/>
  <c r="AC43" i="42"/>
  <c r="AC45" i="42" s="1"/>
  <c r="AF29" i="35" s="1"/>
  <c r="AC52" i="42"/>
  <c r="AC53" i="42" s="1"/>
  <c r="AF37" i="35" s="1"/>
  <c r="AC86" i="42"/>
  <c r="AC88" i="42" s="1"/>
  <c r="AC90" i="42" s="1"/>
  <c r="U52" i="42"/>
  <c r="U53" i="42" s="1"/>
  <c r="X37" i="35" s="1"/>
  <c r="U86" i="42"/>
  <c r="U88" i="42" s="1"/>
  <c r="U90" i="42" s="1"/>
  <c r="U43" i="42"/>
  <c r="U45" i="42" s="1"/>
  <c r="X29" i="35" s="1"/>
  <c r="AD43" i="42"/>
  <c r="AD45" i="42" s="1"/>
  <c r="AG29" i="35" s="1"/>
  <c r="AD86" i="42"/>
  <c r="AD88" i="42" s="1"/>
  <c r="AD90" i="42" s="1"/>
  <c r="AD52" i="42"/>
  <c r="AD53" i="42" s="1"/>
  <c r="AG37" i="35" s="1"/>
  <c r="AJ43" i="42"/>
  <c r="AJ45" i="42" s="1"/>
  <c r="AJ52" i="42"/>
  <c r="AJ53" i="42" s="1"/>
  <c r="AJ86" i="42"/>
  <c r="AJ88" i="42" s="1"/>
  <c r="AJ90" i="42" s="1"/>
  <c r="AB52" i="42"/>
  <c r="AB53" i="42" s="1"/>
  <c r="AE37" i="35" s="1"/>
  <c r="AB86" i="42"/>
  <c r="AB88" i="42" s="1"/>
  <c r="AB90" i="42" s="1"/>
  <c r="AB43" i="42"/>
  <c r="AB45" i="42" s="1"/>
  <c r="AE29" i="35" s="1"/>
  <c r="T52" i="42"/>
  <c r="T53" i="42" s="1"/>
  <c r="W37" i="35" s="1"/>
  <c r="T43" i="42"/>
  <c r="T45" i="42" s="1"/>
  <c r="W29" i="35" s="1"/>
  <c r="T86" i="42"/>
  <c r="T88" i="42" s="1"/>
  <c r="T90" i="42" s="1"/>
  <c r="AI52" i="42"/>
  <c r="AI53" i="42" s="1"/>
  <c r="AI86" i="42"/>
  <c r="AI88" i="42" s="1"/>
  <c r="AI90" i="42" s="1"/>
  <c r="AI43" i="42"/>
  <c r="AI45" i="42" s="1"/>
  <c r="AA86" i="42"/>
  <c r="AA88" i="42" s="1"/>
  <c r="AA90" i="42" s="1"/>
  <c r="AA43" i="42"/>
  <c r="AA45" i="42" s="1"/>
  <c r="AD29" i="35" s="1"/>
  <c r="AA52" i="42"/>
  <c r="AA53" i="42" s="1"/>
  <c r="AD37" i="35" s="1"/>
  <c r="S52" i="42"/>
  <c r="S53" i="42" s="1"/>
  <c r="V37" i="35" s="1"/>
  <c r="S43" i="42"/>
  <c r="S45" i="42" s="1"/>
  <c r="V29" i="35" s="1"/>
  <c r="S86" i="42"/>
  <c r="S88" i="42" s="1"/>
  <c r="S90" i="42" s="1"/>
  <c r="AA50" i="40"/>
  <c r="AA51" i="40" s="1"/>
  <c r="AD35" i="35" s="1"/>
  <c r="AA41" i="40"/>
  <c r="AA43" i="40" s="1"/>
  <c r="AD27" i="35" s="1"/>
  <c r="AA84" i="40"/>
  <c r="AA86" i="40" s="1"/>
  <c r="AA88" i="40" s="1"/>
  <c r="AI50" i="40"/>
  <c r="AI51" i="40" s="1"/>
  <c r="AI84" i="40"/>
  <c r="AI86" i="40" s="1"/>
  <c r="AI88" i="40" s="1"/>
  <c r="AI41" i="40"/>
  <c r="AI43" i="40" s="1"/>
  <c r="S50" i="40"/>
  <c r="S84" i="40"/>
  <c r="S86" i="40" s="1"/>
  <c r="S88" i="40" s="1"/>
  <c r="S41" i="40"/>
  <c r="S43" i="40" s="1"/>
  <c r="V27" i="35" s="1"/>
  <c r="AH84" i="40"/>
  <c r="AH86" i="40" s="1"/>
  <c r="AH88" i="40" s="1"/>
  <c r="AH50" i="40"/>
  <c r="AH51" i="40" s="1"/>
  <c r="AH41" i="40"/>
  <c r="AH43" i="40" s="1"/>
  <c r="Z41" i="40"/>
  <c r="Z43" i="40" s="1"/>
  <c r="AC27" i="35" s="1"/>
  <c r="Z84" i="40"/>
  <c r="Z86" i="40" s="1"/>
  <c r="Z88" i="40" s="1"/>
  <c r="Z50" i="40"/>
  <c r="Z51" i="40" s="1"/>
  <c r="AC35" i="35" s="1"/>
  <c r="AB41" i="40"/>
  <c r="AB43" i="40" s="1"/>
  <c r="AE27" i="35" s="1"/>
  <c r="AB84" i="40"/>
  <c r="AB86" i="40" s="1"/>
  <c r="AB88" i="40" s="1"/>
  <c r="AB50" i="40"/>
  <c r="AB51" i="40" s="1"/>
  <c r="AE35" i="35" s="1"/>
  <c r="T41" i="40"/>
  <c r="T43" i="40" s="1"/>
  <c r="W27" i="35" s="1"/>
  <c r="T50" i="40"/>
  <c r="T51" i="40" s="1"/>
  <c r="W35" i="35" s="1"/>
  <c r="T84" i="40"/>
  <c r="T86" i="40" s="1"/>
  <c r="T88" i="40" s="1"/>
  <c r="Y41" i="40"/>
  <c r="Y43" i="40" s="1"/>
  <c r="AB27" i="35" s="1"/>
  <c r="Y50" i="40"/>
  <c r="Y51" i="40" s="1"/>
  <c r="AB35" i="35" s="1"/>
  <c r="Y84" i="40"/>
  <c r="Y86" i="40" s="1"/>
  <c r="Y88" i="40" s="1"/>
  <c r="AF84" i="40"/>
  <c r="AF86" i="40" s="1"/>
  <c r="AF88" i="40" s="1"/>
  <c r="AF50" i="40"/>
  <c r="AF51" i="40" s="1"/>
  <c r="AI35" i="35" s="1"/>
  <c r="AF41" i="40"/>
  <c r="AF43" i="40" s="1"/>
  <c r="AI27" i="35" s="1"/>
  <c r="X41" i="40"/>
  <c r="X43" i="40" s="1"/>
  <c r="AA27" i="35" s="1"/>
  <c r="X50" i="40"/>
  <c r="X51" i="40" s="1"/>
  <c r="AA35" i="35" s="1"/>
  <c r="X84" i="40"/>
  <c r="X86" i="40" s="1"/>
  <c r="X88" i="40" s="1"/>
  <c r="S51" i="40"/>
  <c r="V35" i="35" s="1"/>
  <c r="AJ41" i="40"/>
  <c r="AJ43" i="40" s="1"/>
  <c r="AJ50" i="40"/>
  <c r="AJ51" i="40" s="1"/>
  <c r="AJ84" i="40"/>
  <c r="AJ86" i="40" s="1"/>
  <c r="AJ88" i="40" s="1"/>
  <c r="AG41" i="40"/>
  <c r="AG43" i="40" s="1"/>
  <c r="AJ27" i="35" s="1"/>
  <c r="AG50" i="40"/>
  <c r="AG51" i="40" s="1"/>
  <c r="AJ35" i="35" s="1"/>
  <c r="AG84" i="40"/>
  <c r="AG86" i="40" s="1"/>
  <c r="AG88" i="40" s="1"/>
  <c r="AE41" i="40"/>
  <c r="AE43" i="40" s="1"/>
  <c r="AH27" i="35" s="1"/>
  <c r="AE84" i="40"/>
  <c r="AE86" i="40" s="1"/>
  <c r="AE88" i="40" s="1"/>
  <c r="AE50" i="40"/>
  <c r="AE51" i="40" s="1"/>
  <c r="AH35" i="35" s="1"/>
  <c r="W41" i="40"/>
  <c r="W43" i="40" s="1"/>
  <c r="Z27" i="35" s="1"/>
  <c r="W50" i="40"/>
  <c r="W51" i="40" s="1"/>
  <c r="Z35" i="35" s="1"/>
  <c r="W84" i="40"/>
  <c r="W86" i="40" s="1"/>
  <c r="W88" i="40" s="1"/>
  <c r="AD41" i="40"/>
  <c r="AD43" i="40" s="1"/>
  <c r="AG27" i="35" s="1"/>
  <c r="AD50" i="40"/>
  <c r="AD51" i="40" s="1"/>
  <c r="AG35" i="35" s="1"/>
  <c r="AD84" i="40"/>
  <c r="AD86" i="40" s="1"/>
  <c r="AD88" i="40" s="1"/>
  <c r="V41" i="40"/>
  <c r="V43" i="40" s="1"/>
  <c r="Y27" i="35" s="1"/>
  <c r="V84" i="40"/>
  <c r="V86" i="40" s="1"/>
  <c r="V88" i="40" s="1"/>
  <c r="V50" i="40"/>
  <c r="V51" i="40" s="1"/>
  <c r="Y35" i="35" s="1"/>
  <c r="AK84" i="40"/>
  <c r="AK86" i="40" s="1"/>
  <c r="AK88" i="40" s="1"/>
  <c r="AK41" i="40"/>
  <c r="AK43" i="40" s="1"/>
  <c r="AK50" i="40"/>
  <c r="AK51" i="40" s="1"/>
  <c r="AC41" i="40"/>
  <c r="AC43" i="40" s="1"/>
  <c r="AF27" i="35" s="1"/>
  <c r="AC50" i="40"/>
  <c r="AC51" i="40" s="1"/>
  <c r="AF35" i="35" s="1"/>
  <c r="AC84" i="40"/>
  <c r="AC86" i="40" s="1"/>
  <c r="AC88" i="40" s="1"/>
  <c r="U41" i="40"/>
  <c r="U43" i="40" s="1"/>
  <c r="X27" i="35" s="1"/>
  <c r="U50" i="40"/>
  <c r="U51" i="40" s="1"/>
  <c r="X35" i="35" s="1"/>
  <c r="U84" i="40"/>
  <c r="U86" i="40" s="1"/>
  <c r="U88" i="40" s="1"/>
  <c r="M24" i="40"/>
  <c r="N52" i="42"/>
  <c r="N53" i="42" s="1"/>
  <c r="Q37" i="35" s="1"/>
  <c r="N43" i="42"/>
  <c r="N45" i="42" s="1"/>
  <c r="Q29" i="35" s="1"/>
  <c r="N86" i="42"/>
  <c r="N88" i="42" s="1"/>
  <c r="N90" i="42" s="1"/>
  <c r="R52" i="42"/>
  <c r="R53" i="42" s="1"/>
  <c r="U37" i="35" s="1"/>
  <c r="R43" i="42"/>
  <c r="R45" i="42" s="1"/>
  <c r="U29" i="35" s="1"/>
  <c r="R86" i="42"/>
  <c r="R88" i="42" s="1"/>
  <c r="R90" i="42" s="1"/>
  <c r="K86" i="42"/>
  <c r="K88" i="42" s="1"/>
  <c r="K90" i="42" s="1"/>
  <c r="K52" i="42"/>
  <c r="K53" i="42" s="1"/>
  <c r="N37" i="35" s="1"/>
  <c r="K43" i="42"/>
  <c r="K45" i="42" s="1"/>
  <c r="N29" i="35" s="1"/>
  <c r="P40" i="41"/>
  <c r="P53" i="41"/>
  <c r="P46" i="41"/>
  <c r="P45" i="41"/>
  <c r="P50" i="41"/>
  <c r="P44" i="41"/>
  <c r="P51" i="41"/>
  <c r="P55" i="41"/>
  <c r="P54" i="41"/>
  <c r="P41" i="41"/>
  <c r="P52" i="41"/>
  <c r="M45" i="41"/>
  <c r="M52" i="41"/>
  <c r="M44" i="41"/>
  <c r="M40" i="41"/>
  <c r="M53" i="41"/>
  <c r="M41" i="41"/>
  <c r="M51" i="41"/>
  <c r="M50" i="41"/>
  <c r="M54" i="41"/>
  <c r="M46" i="41"/>
  <c r="M55" i="41"/>
  <c r="L54" i="41"/>
  <c r="L45" i="41"/>
  <c r="L55" i="41"/>
  <c r="L41" i="41"/>
  <c r="L50" i="41"/>
  <c r="L44" i="41"/>
  <c r="L52" i="41"/>
  <c r="L46" i="41"/>
  <c r="L40" i="41"/>
  <c r="L51" i="41"/>
  <c r="L53" i="41"/>
  <c r="J53" i="41"/>
  <c r="J55" i="41"/>
  <c r="J51" i="41"/>
  <c r="J40" i="41"/>
  <c r="J44" i="41"/>
  <c r="J41" i="41"/>
  <c r="J50" i="41"/>
  <c r="J45" i="41"/>
  <c r="J54" i="41"/>
  <c r="J46" i="41"/>
  <c r="J52" i="41"/>
  <c r="H50" i="40"/>
  <c r="H51" i="40" s="1"/>
  <c r="H41" i="40"/>
  <c r="H43" i="40" s="1"/>
  <c r="K27" i="35" s="1"/>
  <c r="H84" i="40"/>
  <c r="H86" i="40" s="1"/>
  <c r="H88" i="40" s="1"/>
  <c r="R6" i="41"/>
  <c r="I43" i="42"/>
  <c r="I45" i="42" s="1"/>
  <c r="L29" i="35" s="1"/>
  <c r="I86" i="42"/>
  <c r="I88" i="42" s="1"/>
  <c r="I90" i="42" s="1"/>
  <c r="I52" i="42"/>
  <c r="I53" i="42" s="1"/>
  <c r="L37" i="35" s="1"/>
  <c r="M52" i="42"/>
  <c r="M53" i="42" s="1"/>
  <c r="P37" i="35" s="1"/>
  <c r="M43" i="42"/>
  <c r="M45" i="42" s="1"/>
  <c r="P29" i="35" s="1"/>
  <c r="M86" i="42"/>
  <c r="M88" i="42" s="1"/>
  <c r="M90" i="42" s="1"/>
  <c r="R50" i="40"/>
  <c r="R51" i="40" s="1"/>
  <c r="U35" i="35" s="1"/>
  <c r="R84" i="40"/>
  <c r="R86" i="40" s="1"/>
  <c r="R88" i="40" s="1"/>
  <c r="R41" i="40"/>
  <c r="R43" i="40" s="1"/>
  <c r="U27" i="35" s="1"/>
  <c r="I50" i="40"/>
  <c r="I51" i="40" s="1"/>
  <c r="L35" i="35" s="1"/>
  <c r="I84" i="40"/>
  <c r="I86" i="40" s="1"/>
  <c r="I88" i="40" s="1"/>
  <c r="I41" i="40"/>
  <c r="I43" i="40" s="1"/>
  <c r="L27" i="35" s="1"/>
  <c r="Q52" i="42"/>
  <c r="Q53" i="42" s="1"/>
  <c r="T37" i="35" s="1"/>
  <c r="Q43" i="42"/>
  <c r="Q45" i="42" s="1"/>
  <c r="T29" i="35" s="1"/>
  <c r="Q86" i="42"/>
  <c r="Q88" i="42" s="1"/>
  <c r="Q90" i="42" s="1"/>
  <c r="P86" i="42"/>
  <c r="P88" i="42" s="1"/>
  <c r="P90" i="42" s="1"/>
  <c r="P52" i="42"/>
  <c r="P53" i="42" s="1"/>
  <c r="S37" i="35" s="1"/>
  <c r="P43" i="42"/>
  <c r="P45" i="42" s="1"/>
  <c r="S29" i="35" s="1"/>
  <c r="Q54" i="41"/>
  <c r="Q44" i="41"/>
  <c r="Q53" i="41"/>
  <c r="Q45" i="41"/>
  <c r="Q51" i="41"/>
  <c r="Q46" i="41"/>
  <c r="Q55" i="41"/>
  <c r="Q41" i="41"/>
  <c r="Q50" i="41"/>
  <c r="Q52" i="41"/>
  <c r="Q40" i="41"/>
  <c r="Q84" i="40"/>
  <c r="Q86" i="40" s="1"/>
  <c r="Q88" i="40" s="1"/>
  <c r="Q41" i="40"/>
  <c r="Q43" i="40" s="1"/>
  <c r="T27" i="35" s="1"/>
  <c r="Q50" i="40"/>
  <c r="Q51" i="40" s="1"/>
  <c r="T35" i="35" s="1"/>
  <c r="K41" i="40"/>
  <c r="K43" i="40" s="1"/>
  <c r="N27" i="35" s="1"/>
  <c r="K50" i="40"/>
  <c r="K51" i="40" s="1"/>
  <c r="N35" i="35" s="1"/>
  <c r="K84" i="40"/>
  <c r="K86" i="40" s="1"/>
  <c r="K88" i="40" s="1"/>
  <c r="I52" i="41"/>
  <c r="I40" i="41"/>
  <c r="I44" i="41"/>
  <c r="I41" i="41"/>
  <c r="I50" i="41"/>
  <c r="I54" i="41"/>
  <c r="I51" i="41"/>
  <c r="I45" i="41"/>
  <c r="I46" i="41"/>
  <c r="I53" i="41"/>
  <c r="I55" i="41"/>
  <c r="J41" i="40"/>
  <c r="J43" i="40" s="1"/>
  <c r="M27" i="35" s="1"/>
  <c r="J50" i="40"/>
  <c r="J51" i="40" s="1"/>
  <c r="M35" i="35" s="1"/>
  <c r="J84" i="40"/>
  <c r="J86" i="40" s="1"/>
  <c r="J88" i="40" s="1"/>
  <c r="L52" i="42"/>
  <c r="L53" i="42" s="1"/>
  <c r="O37" i="35" s="1"/>
  <c r="L43" i="42"/>
  <c r="L45" i="42" s="1"/>
  <c r="O29" i="35" s="1"/>
  <c r="L86" i="42"/>
  <c r="L88" i="42" s="1"/>
  <c r="L90" i="42" s="1"/>
  <c r="O86" i="42"/>
  <c r="O88" i="42" s="1"/>
  <c r="O90" i="42" s="1"/>
  <c r="O52" i="42"/>
  <c r="O53" i="42" s="1"/>
  <c r="R37" i="35" s="1"/>
  <c r="O43" i="42"/>
  <c r="O45" i="42" s="1"/>
  <c r="R29" i="35" s="1"/>
  <c r="H52" i="42"/>
  <c r="H53" i="42" s="1"/>
  <c r="H86" i="42"/>
  <c r="H88" i="42" s="1"/>
  <c r="H90" i="42" s="1"/>
  <c r="H43" i="42"/>
  <c r="H45" i="42" s="1"/>
  <c r="K29" i="35" s="1"/>
  <c r="P41" i="40"/>
  <c r="P43" i="40" s="1"/>
  <c r="S27" i="35" s="1"/>
  <c r="P50" i="40"/>
  <c r="P51" i="40" s="1"/>
  <c r="S35" i="35" s="1"/>
  <c r="P84" i="40"/>
  <c r="P86" i="40" s="1"/>
  <c r="P88" i="40" s="1"/>
  <c r="O84" i="40"/>
  <c r="O86" i="40" s="1"/>
  <c r="O88" i="40" s="1"/>
  <c r="O41" i="40"/>
  <c r="O43" i="40" s="1"/>
  <c r="R27" i="35" s="1"/>
  <c r="O50" i="40"/>
  <c r="O51" i="40" s="1"/>
  <c r="R35" i="35" s="1"/>
  <c r="J86" i="42"/>
  <c r="J88" i="42" s="1"/>
  <c r="J90" i="42" s="1"/>
  <c r="J43" i="42"/>
  <c r="J45" i="42" s="1"/>
  <c r="M29" i="35" s="1"/>
  <c r="J52" i="42"/>
  <c r="J53" i="42" s="1"/>
  <c r="M37" i="35" s="1"/>
  <c r="N84" i="40"/>
  <c r="N86" i="40" s="1"/>
  <c r="N88" i="40" s="1"/>
  <c r="N41" i="40"/>
  <c r="N43" i="40" s="1"/>
  <c r="Q27" i="35" s="1"/>
  <c r="N50" i="40"/>
  <c r="N51" i="40" s="1"/>
  <c r="Q35" i="35" s="1"/>
  <c r="O44" i="41"/>
  <c r="O51" i="41"/>
  <c r="O40" i="41"/>
  <c r="O55" i="41"/>
  <c r="O41" i="41"/>
  <c r="O52" i="41"/>
  <c r="O45" i="41"/>
  <c r="O53" i="41"/>
  <c r="O50" i="41"/>
  <c r="O46" i="41"/>
  <c r="O54" i="41"/>
  <c r="R53" i="41"/>
  <c r="R44" i="41"/>
  <c r="R45" i="41"/>
  <c r="R40" i="41"/>
  <c r="R52" i="41"/>
  <c r="R55" i="41"/>
  <c r="R50" i="41"/>
  <c r="R54" i="41"/>
  <c r="R41" i="41"/>
  <c r="R51" i="41"/>
  <c r="R46" i="41"/>
  <c r="N51" i="41"/>
  <c r="N40" i="41"/>
  <c r="N52" i="41"/>
  <c r="N50" i="41"/>
  <c r="N41" i="41"/>
  <c r="N54" i="41"/>
  <c r="N44" i="41"/>
  <c r="N46" i="41"/>
  <c r="N45" i="41"/>
  <c r="N53" i="41"/>
  <c r="N55" i="41"/>
  <c r="K52" i="41"/>
  <c r="K50" i="41"/>
  <c r="K54" i="41"/>
  <c r="K44" i="41"/>
  <c r="K40" i="41"/>
  <c r="K51" i="41"/>
  <c r="K45" i="41"/>
  <c r="K53" i="41"/>
  <c r="K55" i="41"/>
  <c r="K46" i="41"/>
  <c r="K41" i="41"/>
  <c r="M84" i="40"/>
  <c r="M86" i="40" s="1"/>
  <c r="M88" i="40" s="1"/>
  <c r="M50" i="40"/>
  <c r="M51" i="40" s="1"/>
  <c r="P35" i="35" s="1"/>
  <c r="M41" i="40"/>
  <c r="M43" i="40" s="1"/>
  <c r="P27" i="35" s="1"/>
  <c r="M24" i="42"/>
  <c r="L50" i="40"/>
  <c r="L51" i="40" s="1"/>
  <c r="O35" i="35" s="1"/>
  <c r="L84" i="40"/>
  <c r="L86" i="40" s="1"/>
  <c r="L88" i="40" s="1"/>
  <c r="L41" i="40"/>
  <c r="L43" i="40" s="1"/>
  <c r="O27" i="35" s="1"/>
  <c r="H52" i="41"/>
  <c r="H45" i="41"/>
  <c r="H54" i="41"/>
  <c r="H46" i="41"/>
  <c r="H51" i="41"/>
  <c r="H41" i="41"/>
  <c r="H40" i="41"/>
  <c r="H55" i="41"/>
  <c r="H44" i="41"/>
  <c r="H50" i="41"/>
  <c r="H53" i="41"/>
  <c r="G69" i="35"/>
  <c r="G74" i="35" s="1"/>
  <c r="I12" i="35"/>
  <c r="H18" i="35"/>
  <c r="H45" i="28" s="1"/>
  <c r="H55" i="45" l="1"/>
  <c r="V62" i="47"/>
  <c r="AD62" i="47"/>
  <c r="K48" i="47"/>
  <c r="N28" i="44" s="1"/>
  <c r="AJ62" i="47"/>
  <c r="I57" i="45"/>
  <c r="I58" i="45" s="1"/>
  <c r="I62" i="45" s="1"/>
  <c r="R62" i="47"/>
  <c r="T53" i="47"/>
  <c r="AB53" i="47"/>
  <c r="AD48" i="47"/>
  <c r="AG28" i="44" s="1"/>
  <c r="K53" i="47"/>
  <c r="AB62" i="47"/>
  <c r="K62" i="47"/>
  <c r="AD53" i="47"/>
  <c r="AG36" i="44" s="1"/>
  <c r="V48" i="47"/>
  <c r="Y28" i="44" s="1"/>
  <c r="L62" i="47"/>
  <c r="O36" i="44" s="1"/>
  <c r="L53" i="47"/>
  <c r="J20" i="57"/>
  <c r="J18" i="57"/>
  <c r="J19" i="57"/>
  <c r="D21" i="44"/>
  <c r="G17" i="43" s="1"/>
  <c r="M41" i="56" s="1"/>
  <c r="R48" i="47"/>
  <c r="U28" i="44" s="1"/>
  <c r="L48" i="47"/>
  <c r="O28" i="44" s="1"/>
  <c r="H62" i="47"/>
  <c r="H64" i="47" s="1"/>
  <c r="H67" i="47" s="1"/>
  <c r="H71" i="47" s="1"/>
  <c r="R53" i="47"/>
  <c r="Z53" i="47"/>
  <c r="T48" i="47"/>
  <c r="W28" i="44" s="1"/>
  <c r="X48" i="47"/>
  <c r="AA28" i="44" s="1"/>
  <c r="AF62" i="47"/>
  <c r="AF64" i="47" s="1"/>
  <c r="N48" i="47"/>
  <c r="Q28" i="44" s="1"/>
  <c r="Z62" i="47"/>
  <c r="AK53" i="47"/>
  <c r="AC53" i="47"/>
  <c r="AG57" i="45"/>
  <c r="AC62" i="47"/>
  <c r="X62" i="47"/>
  <c r="AA36" i="44" s="1"/>
  <c r="N62" i="47"/>
  <c r="N53" i="47"/>
  <c r="AG55" i="45"/>
  <c r="W55" i="45"/>
  <c r="W57" i="45"/>
  <c r="AC48" i="47"/>
  <c r="AF28" i="44" s="1"/>
  <c r="AK57" i="45"/>
  <c r="AK55" i="45"/>
  <c r="Y55" i="45"/>
  <c r="AB33" i="44" s="1"/>
  <c r="AC71" i="39"/>
  <c r="AC72" i="39"/>
  <c r="AC60" i="39"/>
  <c r="AC86" i="39"/>
  <c r="AC87" i="39"/>
  <c r="AC62" i="39"/>
  <c r="AD39" i="39"/>
  <c r="AB74" i="39"/>
  <c r="Z48" i="47"/>
  <c r="AC28" i="44" s="1"/>
  <c r="T62" i="47"/>
  <c r="F46" i="28"/>
  <c r="F54" i="28" s="1"/>
  <c r="K22" i="28"/>
  <c r="K20" i="28"/>
  <c r="L20" i="28"/>
  <c r="P53" i="47"/>
  <c r="M55" i="45"/>
  <c r="P48" i="47"/>
  <c r="S28" i="44" s="1"/>
  <c r="O55" i="45"/>
  <c r="O57" i="45"/>
  <c r="P36" i="44"/>
  <c r="R36" i="44"/>
  <c r="AD36" i="44"/>
  <c r="AK62" i="47"/>
  <c r="P62" i="47"/>
  <c r="T36" i="44"/>
  <c r="K57" i="45"/>
  <c r="N25" i="44"/>
  <c r="AH36" i="44"/>
  <c r="AE55" i="45"/>
  <c r="AE57" i="45"/>
  <c r="V36" i="44"/>
  <c r="AJ36" i="44"/>
  <c r="Z57" i="45"/>
  <c r="AB36" i="44"/>
  <c r="Y36" i="44"/>
  <c r="Z36" i="44"/>
  <c r="X36" i="44"/>
  <c r="M22" i="28"/>
  <c r="N22" i="28"/>
  <c r="P22" i="28"/>
  <c r="O22" i="28"/>
  <c r="L22" i="28"/>
  <c r="V55" i="45"/>
  <c r="AB57" i="45"/>
  <c r="AB55" i="45"/>
  <c r="N55" i="45"/>
  <c r="AC57" i="45"/>
  <c r="AC55" i="45"/>
  <c r="Z55" i="45"/>
  <c r="AH57" i="45"/>
  <c r="AH58" i="45" s="1"/>
  <c r="U55" i="45"/>
  <c r="U57" i="45"/>
  <c r="V57" i="45"/>
  <c r="T57" i="45"/>
  <c r="T55" i="45"/>
  <c r="AJ57" i="45"/>
  <c r="AJ58" i="45" s="1"/>
  <c r="AA55" i="45"/>
  <c r="S57" i="45"/>
  <c r="Q55" i="45"/>
  <c r="N57" i="45"/>
  <c r="AD55" i="45"/>
  <c r="P57" i="45"/>
  <c r="M57" i="45"/>
  <c r="R57" i="45"/>
  <c r="X57" i="45"/>
  <c r="L55" i="45"/>
  <c r="I64" i="47"/>
  <c r="I67" i="47" s="1"/>
  <c r="I71" i="47" s="1"/>
  <c r="AD42" i="41"/>
  <c r="AG28" i="35" s="1"/>
  <c r="Q57" i="45"/>
  <c r="H61" i="48"/>
  <c r="H65" i="48" s="1"/>
  <c r="S55" i="45"/>
  <c r="AE64" i="47"/>
  <c r="AJ64" i="47"/>
  <c r="AI64" i="47"/>
  <c r="AA57" i="45"/>
  <c r="AD57" i="45"/>
  <c r="AI57" i="45"/>
  <c r="AI58" i="45" s="1"/>
  <c r="P55" i="45"/>
  <c r="U64" i="47"/>
  <c r="X55" i="45"/>
  <c r="K55" i="45"/>
  <c r="AB42" i="41"/>
  <c r="AE28" i="35" s="1"/>
  <c r="S42" i="41"/>
  <c r="V28" i="35" s="1"/>
  <c r="W42" i="41"/>
  <c r="Z28" i="35" s="1"/>
  <c r="W64" i="47"/>
  <c r="AA42" i="41"/>
  <c r="AD28" i="35" s="1"/>
  <c r="AH64" i="47"/>
  <c r="R55" i="45"/>
  <c r="AH42" i="41"/>
  <c r="L57" i="45"/>
  <c r="Q63" i="48"/>
  <c r="Q64" i="48" s="1"/>
  <c r="R65" i="48"/>
  <c r="J55" i="45"/>
  <c r="J57" i="45"/>
  <c r="AF55" i="45"/>
  <c r="AF57" i="45"/>
  <c r="S64" i="47"/>
  <c r="O64" i="47"/>
  <c r="O67" i="47" s="1"/>
  <c r="O71" i="47" s="1"/>
  <c r="AB64" i="47"/>
  <c r="H58" i="45"/>
  <c r="L40" i="44"/>
  <c r="Y64" i="47"/>
  <c r="AA64" i="47"/>
  <c r="Q64" i="47"/>
  <c r="Q67" i="47" s="1"/>
  <c r="AG42" i="41"/>
  <c r="AJ28" i="35" s="1"/>
  <c r="J64" i="47"/>
  <c r="J67" i="47" s="1"/>
  <c r="J71" i="47" s="1"/>
  <c r="V47" i="41"/>
  <c r="M64" i="47"/>
  <c r="M67" i="47" s="1"/>
  <c r="M71" i="47" s="1"/>
  <c r="AG64" i="47"/>
  <c r="AC56" i="41"/>
  <c r="U42" i="41"/>
  <c r="X28" i="35" s="1"/>
  <c r="AK42" i="41"/>
  <c r="AJ55" i="42"/>
  <c r="Z42" i="41"/>
  <c r="AC28" i="35" s="1"/>
  <c r="AF42" i="41"/>
  <c r="AI28" i="35" s="1"/>
  <c r="AC42" i="41"/>
  <c r="AF28" i="35" s="1"/>
  <c r="AE42" i="41"/>
  <c r="AH28" i="35" s="1"/>
  <c r="Y42" i="41"/>
  <c r="AB28" i="35" s="1"/>
  <c r="T42" i="41"/>
  <c r="W28" i="35" s="1"/>
  <c r="U56" i="41"/>
  <c r="AB47" i="41"/>
  <c r="T47" i="41"/>
  <c r="Z56" i="41"/>
  <c r="AH55" i="42"/>
  <c r="Z47" i="41"/>
  <c r="AJ42" i="41"/>
  <c r="V42" i="41"/>
  <c r="Y28" i="35" s="1"/>
  <c r="AD56" i="41"/>
  <c r="AI55" i="42"/>
  <c r="AI42" i="41"/>
  <c r="X42" i="41"/>
  <c r="AA28" i="35" s="1"/>
  <c r="S47" i="41"/>
  <c r="AJ47" i="41"/>
  <c r="AI47" i="41"/>
  <c r="X56" i="41"/>
  <c r="AB56" i="41"/>
  <c r="AK56" i="41"/>
  <c r="AA47" i="41"/>
  <c r="X47" i="41"/>
  <c r="Y47" i="41"/>
  <c r="AK47" i="41"/>
  <c r="AE47" i="41"/>
  <c r="V56" i="41"/>
  <c r="AJ56" i="41"/>
  <c r="AC47" i="41"/>
  <c r="AH47" i="41"/>
  <c r="AE56" i="41"/>
  <c r="AF56" i="41"/>
  <c r="T56" i="41"/>
  <c r="Y56" i="41"/>
  <c r="AD47" i="41"/>
  <c r="AH56" i="41"/>
  <c r="AG56" i="41"/>
  <c r="AJ53" i="40"/>
  <c r="AI56" i="41"/>
  <c r="AA56" i="41"/>
  <c r="AF47" i="41"/>
  <c r="U47" i="41"/>
  <c r="AG47" i="41"/>
  <c r="S56" i="41"/>
  <c r="W56" i="41"/>
  <c r="W47" i="41"/>
  <c r="AA55" i="42"/>
  <c r="AD55" i="42"/>
  <c r="AK55" i="42"/>
  <c r="W55" i="42"/>
  <c r="X55" i="42"/>
  <c r="AG55" i="42"/>
  <c r="U55" i="42"/>
  <c r="AE55" i="42"/>
  <c r="T55" i="42"/>
  <c r="V55" i="42"/>
  <c r="Y55" i="42"/>
  <c r="AF55" i="42"/>
  <c r="S55" i="42"/>
  <c r="AB55" i="42"/>
  <c r="AC55" i="42"/>
  <c r="Z55" i="42"/>
  <c r="S53" i="40"/>
  <c r="U53" i="40"/>
  <c r="X53" i="40"/>
  <c r="Z53" i="40"/>
  <c r="V53" i="40"/>
  <c r="AC53" i="40"/>
  <c r="T53" i="40"/>
  <c r="AE53" i="40"/>
  <c r="AD53" i="40"/>
  <c r="AK53" i="40"/>
  <c r="AH53" i="40"/>
  <c r="AF53" i="40"/>
  <c r="AB53" i="40"/>
  <c r="Y53" i="40"/>
  <c r="AG53" i="40"/>
  <c r="W53" i="40"/>
  <c r="AA53" i="40"/>
  <c r="AI53" i="40"/>
  <c r="H69" i="35"/>
  <c r="H74" i="35" s="1"/>
  <c r="G72" i="35"/>
  <c r="J42" i="41"/>
  <c r="M28" i="35" s="1"/>
  <c r="I42" i="41"/>
  <c r="L28" i="35" s="1"/>
  <c r="H42" i="41"/>
  <c r="K28" i="35" s="1"/>
  <c r="Q42" i="41"/>
  <c r="T28" i="35" s="1"/>
  <c r="P42" i="41"/>
  <c r="S28" i="35" s="1"/>
  <c r="L42" i="41"/>
  <c r="O28" i="35" s="1"/>
  <c r="K55" i="42"/>
  <c r="K61" i="42" s="1"/>
  <c r="K65" i="42" s="1"/>
  <c r="R42" i="41"/>
  <c r="U28" i="35" s="1"/>
  <c r="J55" i="42"/>
  <c r="J61" i="42" s="1"/>
  <c r="J65" i="42" s="1"/>
  <c r="N55" i="42"/>
  <c r="N61" i="42" s="1"/>
  <c r="N65" i="42" s="1"/>
  <c r="M55" i="42"/>
  <c r="M61" i="42" s="1"/>
  <c r="M65" i="42" s="1"/>
  <c r="L53" i="40"/>
  <c r="L59" i="40" s="1"/>
  <c r="L63" i="40" s="1"/>
  <c r="H53" i="40"/>
  <c r="N42" i="41"/>
  <c r="Q28" i="35" s="1"/>
  <c r="R47" i="41"/>
  <c r="P53" i="40"/>
  <c r="P59" i="40" s="1"/>
  <c r="P63" i="40" s="1"/>
  <c r="I53" i="40"/>
  <c r="I59" i="40" s="1"/>
  <c r="I63" i="40" s="1"/>
  <c r="O42" i="41"/>
  <c r="R28" i="35" s="1"/>
  <c r="M42" i="41"/>
  <c r="P28" i="35" s="1"/>
  <c r="M53" i="40"/>
  <c r="M59" i="40" s="1"/>
  <c r="M63" i="40" s="1"/>
  <c r="I47" i="41"/>
  <c r="Q53" i="40"/>
  <c r="Q59" i="40" s="1"/>
  <c r="L47" i="41"/>
  <c r="K42" i="41"/>
  <c r="N28" i="35" s="1"/>
  <c r="L56" i="41"/>
  <c r="H47" i="41"/>
  <c r="N53" i="40"/>
  <c r="N59" i="40" s="1"/>
  <c r="N63" i="40" s="1"/>
  <c r="O55" i="42"/>
  <c r="O61" i="42" s="1"/>
  <c r="O65" i="42" s="1"/>
  <c r="R55" i="42"/>
  <c r="R61" i="42" s="1"/>
  <c r="Q63" i="42" s="1"/>
  <c r="Q64" i="42" s="1"/>
  <c r="K56" i="41"/>
  <c r="H56" i="40"/>
  <c r="K35" i="35" s="1"/>
  <c r="J56" i="41"/>
  <c r="P56" i="41"/>
  <c r="H58" i="42"/>
  <c r="K37" i="35" s="1"/>
  <c r="J22" i="28" s="1"/>
  <c r="M56" i="41"/>
  <c r="N56" i="41"/>
  <c r="P55" i="42"/>
  <c r="P61" i="42" s="1"/>
  <c r="P65" i="42" s="1"/>
  <c r="J47" i="41"/>
  <c r="H56" i="41"/>
  <c r="R56" i="41"/>
  <c r="J53" i="40"/>
  <c r="J59" i="40" s="1"/>
  <c r="J63" i="40" s="1"/>
  <c r="Q47" i="41"/>
  <c r="K47" i="41"/>
  <c r="O56" i="41"/>
  <c r="O47" i="41"/>
  <c r="H55" i="42"/>
  <c r="I56" i="41"/>
  <c r="K53" i="40"/>
  <c r="K59" i="40" s="1"/>
  <c r="K63" i="40" s="1"/>
  <c r="Q56" i="41"/>
  <c r="I55" i="42"/>
  <c r="I61" i="42" s="1"/>
  <c r="I65" i="42" s="1"/>
  <c r="M47" i="41"/>
  <c r="N47" i="41"/>
  <c r="O53" i="40"/>
  <c r="O59" i="40" s="1"/>
  <c r="O63" i="40" s="1"/>
  <c r="L55" i="42"/>
  <c r="L61" i="42" s="1"/>
  <c r="L65" i="42" s="1"/>
  <c r="Q55" i="42"/>
  <c r="Q61" i="42" s="1"/>
  <c r="R53" i="40"/>
  <c r="R59" i="40" s="1"/>
  <c r="P47" i="41"/>
  <c r="J12" i="35"/>
  <c r="I18" i="35"/>
  <c r="I45" i="28" s="1"/>
  <c r="U36" i="44" l="1"/>
  <c r="AE36" i="44"/>
  <c r="AD64" i="47"/>
  <c r="AF36" i="44"/>
  <c r="AG58" i="45"/>
  <c r="N36" i="44"/>
  <c r="V64" i="47"/>
  <c r="AJ33" i="44"/>
  <c r="K64" i="47"/>
  <c r="K67" i="47" s="1"/>
  <c r="K71" i="47" s="1"/>
  <c r="R64" i="47"/>
  <c r="R67" i="47" s="1"/>
  <c r="R71" i="47" s="1"/>
  <c r="AI36" i="44"/>
  <c r="L64" i="47"/>
  <c r="L67" i="47" s="1"/>
  <c r="L71" i="47" s="1"/>
  <c r="I17" i="43"/>
  <c r="O41" i="56" s="1"/>
  <c r="T64" i="47"/>
  <c r="AC36" i="44"/>
  <c r="Z64" i="47"/>
  <c r="AK64" i="47"/>
  <c r="Q36" i="44"/>
  <c r="N64" i="47"/>
  <c r="N67" i="47" s="1"/>
  <c r="N71" i="47" s="1"/>
  <c r="X64" i="47"/>
  <c r="AK58" i="45"/>
  <c r="W58" i="45"/>
  <c r="W36" i="44"/>
  <c r="O58" i="45"/>
  <c r="O62" i="45" s="1"/>
  <c r="Z33" i="44"/>
  <c r="AC64" i="47"/>
  <c r="Y58" i="45"/>
  <c r="AD86" i="39"/>
  <c r="AD72" i="39"/>
  <c r="AD87" i="39"/>
  <c r="AE39" i="39"/>
  <c r="AD62" i="39"/>
  <c r="AD74" i="39" s="1"/>
  <c r="AD71" i="39"/>
  <c r="AD60" i="39"/>
  <c r="AC74" i="39"/>
  <c r="AB58" i="45"/>
  <c r="AC58" i="45"/>
  <c r="AF33" i="44"/>
  <c r="AC33" i="44"/>
  <c r="S36" i="44"/>
  <c r="V33" i="44"/>
  <c r="P33" i="44"/>
  <c r="AE58" i="45"/>
  <c r="P64" i="47"/>
  <c r="P67" i="47" s="1"/>
  <c r="P71" i="47" s="1"/>
  <c r="AI33" i="44"/>
  <c r="U58" i="45"/>
  <c r="X33" i="44"/>
  <c r="Q33" i="44"/>
  <c r="AE33" i="44"/>
  <c r="AA33" i="44"/>
  <c r="T58" i="45"/>
  <c r="Y33" i="44"/>
  <c r="R33" i="44"/>
  <c r="V58" i="45"/>
  <c r="AH33" i="44"/>
  <c r="AG33" i="44"/>
  <c r="S33" i="44"/>
  <c r="U33" i="44"/>
  <c r="T33" i="44"/>
  <c r="O33" i="44"/>
  <c r="K58" i="45"/>
  <c r="K62" i="45" s="1"/>
  <c r="N33" i="44"/>
  <c r="AD33" i="44"/>
  <c r="W33" i="44"/>
  <c r="AI36" i="35"/>
  <c r="P36" i="35"/>
  <c r="O21" i="28" s="1"/>
  <c r="Q36" i="35"/>
  <c r="AJ36" i="35"/>
  <c r="AH36" i="35"/>
  <c r="N36" i="35"/>
  <c r="M21" i="28" s="1"/>
  <c r="X36" i="35"/>
  <c r="AF36" i="35"/>
  <c r="Z36" i="35"/>
  <c r="S36" i="35"/>
  <c r="T36" i="35"/>
  <c r="AC36" i="35"/>
  <c r="R36" i="35"/>
  <c r="AD36" i="35"/>
  <c r="L36" i="35"/>
  <c r="K21" i="28" s="1"/>
  <c r="V36" i="35"/>
  <c r="K36" i="35"/>
  <c r="J21" i="28" s="1"/>
  <c r="W36" i="35"/>
  <c r="AE36" i="35"/>
  <c r="AB36" i="35"/>
  <c r="Y36" i="35"/>
  <c r="M36" i="35"/>
  <c r="L21" i="28" s="1"/>
  <c r="O36" i="35"/>
  <c r="N21" i="28" s="1"/>
  <c r="U36" i="35"/>
  <c r="AG36" i="35"/>
  <c r="AA36" i="35"/>
  <c r="J20" i="28"/>
  <c r="P58" i="45"/>
  <c r="P62" i="45" s="1"/>
  <c r="Z58" i="45"/>
  <c r="K42" i="44"/>
  <c r="K43" i="44" s="1"/>
  <c r="N58" i="45"/>
  <c r="N62" i="45" s="1"/>
  <c r="AA58" i="45"/>
  <c r="S58" i="45"/>
  <c r="AD58" i="45"/>
  <c r="M58" i="45"/>
  <c r="M62" i="45" s="1"/>
  <c r="L58" i="45"/>
  <c r="L62" i="45" s="1"/>
  <c r="R58" i="45"/>
  <c r="Q60" i="45" s="1"/>
  <c r="Q58" i="45"/>
  <c r="X58" i="45"/>
  <c r="V58" i="41"/>
  <c r="Q65" i="48"/>
  <c r="G68" i="48" s="1"/>
  <c r="AB58" i="41"/>
  <c r="J58" i="45"/>
  <c r="J62" i="45" s="1"/>
  <c r="M42" i="44"/>
  <c r="M43" i="44" s="1"/>
  <c r="G29" i="45"/>
  <c r="G28" i="45"/>
  <c r="H62" i="45"/>
  <c r="AF58" i="45"/>
  <c r="AJ58" i="41"/>
  <c r="T58" i="41"/>
  <c r="AI58" i="41"/>
  <c r="AK58" i="41"/>
  <c r="AG58" i="41"/>
  <c r="S58" i="41"/>
  <c r="AH58" i="41"/>
  <c r="Z58" i="41"/>
  <c r="AD58" i="41"/>
  <c r="AF58" i="41"/>
  <c r="X58" i="41"/>
  <c r="U58" i="41"/>
  <c r="Y58" i="41"/>
  <c r="W58" i="41"/>
  <c r="AA58" i="41"/>
  <c r="AC58" i="41"/>
  <c r="AE58" i="41"/>
  <c r="H72" i="35"/>
  <c r="I69" i="35"/>
  <c r="I74" i="35" s="1"/>
  <c r="M58" i="41"/>
  <c r="M61" i="41" s="1"/>
  <c r="M65" i="41" s="1"/>
  <c r="K58" i="41"/>
  <c r="K61" i="41" s="1"/>
  <c r="K65" i="41" s="1"/>
  <c r="H58" i="41"/>
  <c r="H61" i="41" s="1"/>
  <c r="H65" i="41" s="1"/>
  <c r="R58" i="41"/>
  <c r="R61" i="41" s="1"/>
  <c r="R65" i="41" s="1"/>
  <c r="I58" i="41"/>
  <c r="I61" i="41" s="1"/>
  <c r="I65" i="41" s="1"/>
  <c r="R65" i="42"/>
  <c r="O58" i="41"/>
  <c r="O61" i="41" s="1"/>
  <c r="O65" i="41" s="1"/>
  <c r="Q58" i="41"/>
  <c r="Q61" i="41" s="1"/>
  <c r="H59" i="40"/>
  <c r="H63" i="40" s="1"/>
  <c r="N58" i="41"/>
  <c r="N61" i="41" s="1"/>
  <c r="N65" i="41" s="1"/>
  <c r="L58" i="41"/>
  <c r="L61" i="41" s="1"/>
  <c r="L65" i="41" s="1"/>
  <c r="P58" i="41"/>
  <c r="P61" i="41" s="1"/>
  <c r="P65" i="41" s="1"/>
  <c r="J58" i="41"/>
  <c r="J61" i="41" s="1"/>
  <c r="J65" i="41" s="1"/>
  <c r="H61" i="42"/>
  <c r="H65" i="42" s="1"/>
  <c r="R63" i="40"/>
  <c r="Q61" i="40"/>
  <c r="Q65" i="42"/>
  <c r="K12" i="35"/>
  <c r="J18" i="35"/>
  <c r="J45" i="28" s="1"/>
  <c r="J46" i="28" s="1"/>
  <c r="Q69" i="47" l="1"/>
  <c r="Q70" i="47" s="1"/>
  <c r="Q71" i="47" s="1"/>
  <c r="G74" i="47" s="1"/>
  <c r="P21" i="28"/>
  <c r="AE71" i="39"/>
  <c r="AE60" i="39"/>
  <c r="AE72" i="39"/>
  <c r="AF39" i="39"/>
  <c r="AE86" i="39"/>
  <c r="AE62" i="39"/>
  <c r="AE74" i="39" s="1"/>
  <c r="AE87" i="39"/>
  <c r="Q62" i="45"/>
  <c r="F65" i="45" s="1"/>
  <c r="M40" i="44"/>
  <c r="L42" i="44"/>
  <c r="L43" i="44" s="1"/>
  <c r="I72" i="35"/>
  <c r="J69" i="35"/>
  <c r="J74" i="35" s="1"/>
  <c r="Q63" i="41"/>
  <c r="Q64" i="41" s="1"/>
  <c r="Q62" i="40"/>
  <c r="Q63" i="40" s="1"/>
  <c r="G68" i="42"/>
  <c r="L12" i="35"/>
  <c r="K18" i="35"/>
  <c r="K45" i="28" s="1"/>
  <c r="K46" i="28" s="1"/>
  <c r="AF86" i="39" l="1"/>
  <c r="AF87" i="39"/>
  <c r="AF60" i="39"/>
  <c r="AF72" i="39"/>
  <c r="AF71" i="39"/>
  <c r="AG39" i="39"/>
  <c r="AF62" i="39"/>
  <c r="AF74" i="39" s="1"/>
  <c r="J72" i="35"/>
  <c r="K69" i="35"/>
  <c r="Q65" i="41"/>
  <c r="G66" i="40"/>
  <c r="M12" i="35"/>
  <c r="L18" i="35"/>
  <c r="L45" i="28" s="1"/>
  <c r="L46" i="28" s="1"/>
  <c r="AG86" i="39" l="1"/>
  <c r="AH39" i="39"/>
  <c r="AG72" i="39"/>
  <c r="AG62" i="39"/>
  <c r="AG74" i="39" s="1"/>
  <c r="AG71" i="39"/>
  <c r="AG87" i="39"/>
  <c r="AG60" i="39"/>
  <c r="K72" i="35"/>
  <c r="G40" i="35"/>
  <c r="I40" i="35"/>
  <c r="H40" i="35"/>
  <c r="F40" i="35"/>
  <c r="G68" i="41"/>
  <c r="N12" i="35"/>
  <c r="M18" i="35"/>
  <c r="M45" i="28" s="1"/>
  <c r="M46" i="28" s="1"/>
  <c r="AI39" i="39" l="1"/>
  <c r="AH71" i="39"/>
  <c r="AH60" i="39"/>
  <c r="AH86" i="39"/>
  <c r="AH62" i="39"/>
  <c r="AH72" i="39"/>
  <c r="AH87" i="39"/>
  <c r="P44" i="35"/>
  <c r="N18" i="35"/>
  <c r="N45" i="28" s="1"/>
  <c r="N46" i="28" s="1"/>
  <c r="O12" i="35"/>
  <c r="AH74" i="39" l="1"/>
  <c r="AI60" i="39"/>
  <c r="AJ39" i="39"/>
  <c r="AI71" i="39"/>
  <c r="AI87" i="39"/>
  <c r="AI86" i="39"/>
  <c r="AI72" i="39"/>
  <c r="AI62" i="39"/>
  <c r="AI74" i="39" s="1"/>
  <c r="O18" i="35"/>
  <c r="O45" i="28" s="1"/>
  <c r="O46" i="28" s="1"/>
  <c r="P12" i="35"/>
  <c r="AJ71" i="39" l="1"/>
  <c r="AJ62" i="39"/>
  <c r="AK39" i="39"/>
  <c r="AJ86" i="39"/>
  <c r="AJ60" i="39"/>
  <c r="AJ72" i="39"/>
  <c r="AJ87" i="39"/>
  <c r="P18" i="35"/>
  <c r="P45" i="28" s="1"/>
  <c r="P46" i="28" s="1"/>
  <c r="Q12" i="35"/>
  <c r="AJ74" i="39" l="1"/>
  <c r="AK86" i="39"/>
  <c r="AK71" i="39"/>
  <c r="AK60" i="39"/>
  <c r="AK72" i="39"/>
  <c r="AK62" i="39"/>
  <c r="AK87" i="39"/>
  <c r="Q18" i="35"/>
  <c r="R12" i="35"/>
  <c r="S12" i="35" s="1"/>
  <c r="T12" i="35" s="1"/>
  <c r="U12" i="35" s="1"/>
  <c r="V12" i="35" s="1"/>
  <c r="W12" i="35" s="1"/>
  <c r="X12" i="35" s="1"/>
  <c r="Y12" i="35" s="1"/>
  <c r="Z12" i="35" s="1"/>
  <c r="AA12" i="35" s="1"/>
  <c r="AB12" i="35" s="1"/>
  <c r="AC12" i="35" s="1"/>
  <c r="AD12" i="35" s="1"/>
  <c r="AE12" i="35" s="1"/>
  <c r="AF12" i="35" s="1"/>
  <c r="AG12" i="35" s="1"/>
  <c r="AH12" i="35" s="1"/>
  <c r="AI12" i="35" s="1"/>
  <c r="AJ12" i="35" s="1"/>
  <c r="AK74" i="39" l="1"/>
  <c r="R18" i="35"/>
  <c r="D16" i="35" l="1"/>
  <c r="S12" i="31" l="1"/>
  <c r="S13" i="31"/>
  <c r="S14" i="31"/>
  <c r="S96" i="31" s="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97" i="31" s="1"/>
  <c r="G14" i="43" s="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11" i="31"/>
  <c r="L58" i="37" l="1"/>
  <c r="U12" i="50" s="1"/>
  <c r="M38" i="56"/>
  <c r="L61" i="37"/>
  <c r="L60" i="37"/>
  <c r="L57" i="37"/>
  <c r="G14" i="29"/>
  <c r="H38" i="56" s="1"/>
  <c r="G66" i="28"/>
  <c r="G71" i="28" s="1"/>
  <c r="C38" i="56" l="1"/>
  <c r="C23" i="51"/>
  <c r="K61" i="28"/>
  <c r="G77" i="28"/>
  <c r="G78" i="28"/>
  <c r="G79" i="28"/>
  <c r="G70" i="28"/>
  <c r="H66" i="28"/>
  <c r="H71" i="28" s="1"/>
  <c r="F18" i="44"/>
  <c r="I14" i="43"/>
  <c r="O38" i="56" s="1"/>
  <c r="K23" i="51" l="1"/>
  <c r="L23" i="51" s="1"/>
  <c r="C24" i="51"/>
  <c r="H77" i="28"/>
  <c r="H78" i="28"/>
  <c r="H79" i="28"/>
  <c r="H70" i="28"/>
  <c r="I66" i="28"/>
  <c r="I71" i="28" s="1"/>
  <c r="O23" i="56" s="1"/>
  <c r="D18" i="44"/>
  <c r="K24" i="51" l="1"/>
  <c r="L24" i="51" s="1"/>
  <c r="C25" i="51"/>
  <c r="I77" i="28"/>
  <c r="I78" i="28"/>
  <c r="I79" i="28"/>
  <c r="I70" i="28"/>
  <c r="O24" i="56" s="1"/>
  <c r="J66" i="28"/>
  <c r="J71" i="28" s="1"/>
  <c r="K25" i="51" l="1"/>
  <c r="L25" i="51" s="1"/>
  <c r="C26" i="51"/>
  <c r="J76" i="28"/>
  <c r="J78" i="28"/>
  <c r="J79" i="28"/>
  <c r="J75" i="28"/>
  <c r="J72" i="28"/>
  <c r="J68" i="28"/>
  <c r="J69" i="28"/>
  <c r="J70" i="28"/>
  <c r="K66" i="28"/>
  <c r="K71" i="28" s="1"/>
  <c r="K26" i="51" l="1"/>
  <c r="C27" i="51"/>
  <c r="K79" i="28"/>
  <c r="K76" i="28"/>
  <c r="K78" i="28"/>
  <c r="K75" i="28"/>
  <c r="K72" i="28"/>
  <c r="K70" i="28"/>
  <c r="K68" i="28"/>
  <c r="K69" i="28"/>
  <c r="L66" i="28"/>
  <c r="L71" i="28" s="1"/>
  <c r="O31" i="56" s="1"/>
  <c r="O15" i="56" s="1"/>
  <c r="C28" i="51" l="1"/>
  <c r="K27" i="51"/>
  <c r="L79" i="28"/>
  <c r="L76" i="28"/>
  <c r="L78" i="28"/>
  <c r="L75" i="28"/>
  <c r="L72" i="28"/>
  <c r="O33" i="56" s="1"/>
  <c r="L70" i="28"/>
  <c r="O32" i="56" s="1"/>
  <c r="O16" i="56" s="1"/>
  <c r="L68" i="28"/>
  <c r="O29" i="56" s="1"/>
  <c r="L69" i="28"/>
  <c r="O30" i="56" s="1"/>
  <c r="M66" i="28"/>
  <c r="M71" i="28" s="1"/>
  <c r="M35" i="28"/>
  <c r="M33" i="28"/>
  <c r="M32" i="28"/>
  <c r="M36" i="28"/>
  <c r="M34" i="28"/>
  <c r="N30" i="56" l="1"/>
  <c r="M48" i="28"/>
  <c r="M54" i="28" s="1"/>
  <c r="K28" i="51"/>
  <c r="C29" i="51"/>
  <c r="M79" i="28"/>
  <c r="M77" i="28"/>
  <c r="M75" i="28"/>
  <c r="M76" i="28"/>
  <c r="M78" i="28"/>
  <c r="M72" i="28"/>
  <c r="M68" i="28"/>
  <c r="M69" i="28"/>
  <c r="M70" i="28"/>
  <c r="N66" i="28"/>
  <c r="N71" i="28" s="1"/>
  <c r="N33" i="28"/>
  <c r="N36" i="28"/>
  <c r="N35" i="28"/>
  <c r="N32" i="28"/>
  <c r="N34" i="28"/>
  <c r="N48" i="28" l="1"/>
  <c r="N54" i="28" s="1"/>
  <c r="K29" i="51"/>
  <c r="C30" i="51"/>
  <c r="M81" i="28"/>
  <c r="N77" i="28"/>
  <c r="N79" i="28"/>
  <c r="N78" i="28"/>
  <c r="N75" i="28"/>
  <c r="N76" i="28"/>
  <c r="N72" i="28"/>
  <c r="N70" i="28"/>
  <c r="N68" i="28"/>
  <c r="N69" i="28"/>
  <c r="O66" i="28"/>
  <c r="O71" i="28" s="1"/>
  <c r="O33" i="28"/>
  <c r="O32" i="28"/>
  <c r="O36" i="28"/>
  <c r="O35" i="28"/>
  <c r="O34" i="28"/>
  <c r="O48" i="28" l="1"/>
  <c r="O54" i="28" s="1"/>
  <c r="C31" i="51"/>
  <c r="K30" i="51"/>
  <c r="N81" i="28"/>
  <c r="O78" i="28"/>
  <c r="O75" i="28"/>
  <c r="O76" i="28"/>
  <c r="O79" i="28"/>
  <c r="O77" i="28"/>
  <c r="O68" i="28"/>
  <c r="O70" i="28"/>
  <c r="O72" i="28"/>
  <c r="O69" i="28"/>
  <c r="P66" i="28"/>
  <c r="P71" i="28" s="1"/>
  <c r="P34" i="28"/>
  <c r="P35" i="28"/>
  <c r="P33" i="28"/>
  <c r="P32" i="28"/>
  <c r="P36" i="28"/>
  <c r="P48" i="28" l="1"/>
  <c r="P54" i="28" s="1"/>
  <c r="C32" i="51"/>
  <c r="K31" i="51"/>
  <c r="O81" i="28"/>
  <c r="P78" i="28"/>
  <c r="P75" i="28"/>
  <c r="P79" i="28"/>
  <c r="P77" i="28"/>
  <c r="P76" i="28"/>
  <c r="P68" i="28"/>
  <c r="P72" i="28"/>
  <c r="P70" i="28"/>
  <c r="P69" i="28"/>
  <c r="K32" i="51" l="1"/>
  <c r="C33" i="51"/>
  <c r="P81" i="28"/>
  <c r="C34" i="51" l="1"/>
  <c r="K33" i="51"/>
  <c r="C35" i="51" l="1"/>
  <c r="K34" i="51"/>
  <c r="C36" i="51" l="1"/>
  <c r="K35" i="51"/>
  <c r="F18" i="35"/>
  <c r="E45" i="28" s="1"/>
  <c r="E48" i="28" s="1"/>
  <c r="I14" i="29"/>
  <c r="J38" i="56" s="1"/>
  <c r="L36" i="37"/>
  <c r="L37" i="37"/>
  <c r="L38" i="37"/>
  <c r="E46" i="28" l="1"/>
  <c r="E54" i="28" s="1"/>
  <c r="E100" i="28"/>
  <c r="C37" i="51"/>
  <c r="K36" i="51"/>
  <c r="D18" i="35"/>
  <c r="H59" i="44"/>
  <c r="C38" i="51" l="1"/>
  <c r="K37" i="51"/>
  <c r="T69" i="44"/>
  <c r="T70" i="44"/>
  <c r="K38" i="51" l="1"/>
  <c r="C39" i="51"/>
  <c r="P44" i="44"/>
  <c r="K39" i="51" l="1"/>
  <c r="C40" i="51"/>
  <c r="O26" i="28"/>
  <c r="P69" i="44"/>
  <c r="P70" i="44"/>
  <c r="C41" i="51" l="1"/>
  <c r="K40" i="51"/>
  <c r="C42" i="51" l="1"/>
  <c r="K41" i="51"/>
  <c r="C43" i="51" l="1"/>
  <c r="K42" i="51"/>
  <c r="K43" i="51" l="1"/>
  <c r="C44" i="51"/>
  <c r="K44" i="51" l="1"/>
  <c r="C45" i="51"/>
  <c r="C46" i="51" l="1"/>
  <c r="K45" i="51"/>
  <c r="K46" i="51" l="1"/>
  <c r="C47" i="51"/>
  <c r="C48" i="51" l="1"/>
  <c r="K47" i="51"/>
  <c r="C49" i="51" l="1"/>
  <c r="K48" i="51"/>
  <c r="K49" i="51" l="1"/>
  <c r="C50" i="51"/>
  <c r="C51" i="51" l="1"/>
  <c r="K50" i="51"/>
  <c r="K51" i="51" l="1"/>
  <c r="C52" i="51"/>
  <c r="T62" i="44"/>
  <c r="C53" i="51" l="1"/>
  <c r="K53" i="51" s="1"/>
  <c r="K52" i="51"/>
  <c r="P63" i="35" l="1"/>
  <c r="P62" i="44"/>
  <c r="Z73" i="35" l="1"/>
  <c r="Z72" i="44"/>
  <c r="P53" i="28"/>
  <c r="Q63" i="35"/>
  <c r="Q70" i="35"/>
  <c r="L53" i="28"/>
  <c r="M44" i="35"/>
  <c r="L26" i="28" s="1"/>
  <c r="M63" i="35"/>
  <c r="M70" i="35"/>
  <c r="M71" i="35"/>
  <c r="W73" i="35"/>
  <c r="K44" i="35" l="1"/>
  <c r="J26" i="28" s="1"/>
  <c r="K71" i="35"/>
  <c r="U73" i="35"/>
  <c r="K74" i="35"/>
  <c r="L69" i="35" s="1"/>
  <c r="L72" i="35" l="1"/>
  <c r="L74" i="35"/>
  <c r="M69" i="35" s="1"/>
  <c r="M72" i="35" s="1"/>
  <c r="M74" i="35" l="1"/>
  <c r="N69" i="35" s="1"/>
  <c r="N72" i="35" s="1"/>
  <c r="M95" i="28" l="1"/>
  <c r="N44" i="35"/>
  <c r="N71" i="35"/>
  <c r="X73" i="35"/>
  <c r="N74" i="35"/>
  <c r="O69" i="35" s="1"/>
  <c r="O72" i="35" l="1"/>
  <c r="O74" i="35"/>
  <c r="P69" i="35" s="1"/>
  <c r="P72" i="35" l="1"/>
  <c r="P74" i="35"/>
  <c r="Q69" i="35" s="1"/>
  <c r="Q73" i="35" s="1"/>
  <c r="Q72" i="35" l="1"/>
  <c r="AA73" i="35"/>
  <c r="R76" i="35"/>
  <c r="S76" i="35"/>
  <c r="T76" i="35"/>
  <c r="U76" i="35"/>
  <c r="V76" i="35"/>
  <c r="W76" i="35"/>
  <c r="X76" i="35"/>
  <c r="Y76" i="35"/>
  <c r="Z76" i="35"/>
  <c r="AA76" i="35"/>
  <c r="N44" i="44" l="1"/>
  <c r="M26" i="28" s="1"/>
  <c r="N62" i="44"/>
  <c r="N69" i="44"/>
  <c r="N70" i="44"/>
  <c r="X72" i="44"/>
  <c r="N73" i="44"/>
  <c r="O68" i="44" s="1"/>
  <c r="O71" i="44" l="1"/>
  <c r="O73" i="44"/>
  <c r="P68" i="44" s="1"/>
  <c r="P71" i="44" l="1"/>
  <c r="P73" i="44"/>
  <c r="Q68" i="44" s="1"/>
  <c r="Q71" i="44" l="1"/>
  <c r="C11" i="37"/>
  <c r="D11" i="37"/>
  <c r="C12" i="37"/>
  <c r="D12" i="37"/>
  <c r="C13" i="37"/>
  <c r="D13" i="37"/>
  <c r="H13" i="37"/>
  <c r="C14" i="37"/>
  <c r="H14" i="37"/>
  <c r="C15" i="37"/>
  <c r="C16" i="37"/>
  <c r="D16" i="37"/>
  <c r="C19" i="37"/>
  <c r="D19" i="37"/>
  <c r="X19" i="37"/>
  <c r="Y19" i="37"/>
  <c r="C20" i="37"/>
  <c r="D20" i="37"/>
  <c r="X20" i="37"/>
  <c r="Y20" i="37"/>
  <c r="Y21" i="37"/>
  <c r="Y22" i="37"/>
  <c r="Y23" i="37"/>
  <c r="D24" i="37"/>
  <c r="F24" i="37"/>
  <c r="Y24" i="37"/>
  <c r="X25" i="37"/>
  <c r="Y25" i="37"/>
  <c r="Y29" i="37"/>
  <c r="Y30" i="37"/>
  <c r="X31" i="37"/>
  <c r="Y31" i="37"/>
  <c r="Y32" i="37"/>
  <c r="Y33" i="37"/>
  <c r="D34" i="37"/>
  <c r="H34" i="37"/>
  <c r="L34" i="37"/>
  <c r="P34" i="37"/>
  <c r="T34" i="37"/>
  <c r="Y34" i="37"/>
  <c r="D35" i="37"/>
  <c r="H35" i="37"/>
  <c r="L35" i="37"/>
  <c r="P35" i="37"/>
  <c r="T35" i="37"/>
  <c r="X35" i="37"/>
  <c r="Y35" i="37"/>
  <c r="P36" i="37"/>
  <c r="T36" i="37"/>
  <c r="P37" i="37"/>
  <c r="T37" i="37"/>
  <c r="P38" i="37"/>
  <c r="T38" i="37"/>
  <c r="D39" i="37"/>
  <c r="H39" i="37"/>
  <c r="L39" i="37"/>
  <c r="P39" i="37"/>
  <c r="T39" i="37"/>
  <c r="C44" i="37"/>
  <c r="D44" i="37"/>
  <c r="C47" i="37"/>
  <c r="D47" i="37"/>
  <c r="F47" i="37"/>
  <c r="P57" i="37"/>
  <c r="T57" i="37"/>
  <c r="P58" i="37"/>
  <c r="T58" i="37"/>
  <c r="D59" i="37"/>
  <c r="H59" i="37"/>
  <c r="L59" i="37"/>
  <c r="P59" i="37"/>
  <c r="T59" i="37"/>
  <c r="P60" i="37"/>
  <c r="T60" i="37"/>
  <c r="P61" i="37"/>
  <c r="T61" i="37"/>
  <c r="D62" i="37"/>
  <c r="H62" i="37"/>
  <c r="L62" i="37"/>
  <c r="P62" i="37"/>
  <c r="T62" i="37"/>
  <c r="D29" i="57"/>
  <c r="E29" i="57"/>
  <c r="F29" i="57"/>
  <c r="G29" i="57"/>
  <c r="M29" i="57"/>
  <c r="O29" i="57"/>
  <c r="D30" i="57"/>
  <c r="G30" i="57"/>
  <c r="M30" i="57"/>
  <c r="N30" i="57"/>
  <c r="O30" i="57"/>
  <c r="P30" i="57"/>
  <c r="Q30" i="57"/>
  <c r="D31" i="57"/>
  <c r="E31" i="57"/>
  <c r="F31" i="57"/>
  <c r="G31" i="57"/>
  <c r="H31" i="57"/>
  <c r="I13" i="56"/>
  <c r="J13" i="56"/>
  <c r="O13" i="56"/>
  <c r="I14" i="56"/>
  <c r="J14" i="56"/>
  <c r="N14" i="56"/>
  <c r="O14" i="56"/>
  <c r="E15" i="56"/>
  <c r="I15" i="56"/>
  <c r="J15" i="56"/>
  <c r="E16" i="56"/>
  <c r="I16" i="56"/>
  <c r="I17" i="56"/>
  <c r="O17" i="56"/>
  <c r="I18" i="56"/>
  <c r="J18" i="56"/>
  <c r="J21" i="56"/>
  <c r="O21" i="56"/>
  <c r="J22" i="56"/>
  <c r="O22" i="56"/>
  <c r="J23" i="56"/>
  <c r="J25" i="56"/>
  <c r="O25" i="56"/>
  <c r="J26" i="56"/>
  <c r="D38" i="56"/>
  <c r="E38" i="56"/>
  <c r="I38" i="56"/>
  <c r="N38" i="56"/>
  <c r="C39" i="56"/>
  <c r="D39" i="56"/>
  <c r="E39" i="56"/>
  <c r="H39" i="56"/>
  <c r="I39" i="56"/>
  <c r="J39" i="56"/>
  <c r="M39" i="56"/>
  <c r="N39" i="56"/>
  <c r="O39" i="56"/>
  <c r="C40" i="56"/>
  <c r="D40" i="56"/>
  <c r="E40" i="56"/>
  <c r="H40" i="56"/>
  <c r="I40" i="56"/>
  <c r="J40" i="56"/>
  <c r="M40" i="56"/>
  <c r="N40" i="56"/>
  <c r="O40" i="56"/>
  <c r="C41" i="56"/>
  <c r="D41" i="56"/>
  <c r="E41" i="56"/>
  <c r="H41" i="56"/>
  <c r="I41" i="56"/>
  <c r="J41" i="56"/>
  <c r="N41" i="56"/>
  <c r="C42" i="56"/>
  <c r="D42" i="56"/>
  <c r="E42" i="56"/>
  <c r="H42" i="56"/>
  <c r="I42" i="56"/>
  <c r="J42" i="56"/>
  <c r="M42" i="56"/>
  <c r="N42" i="56"/>
  <c r="O42" i="56"/>
  <c r="C43" i="56"/>
  <c r="D43" i="56"/>
  <c r="E43" i="56"/>
  <c r="H43" i="56"/>
  <c r="I43" i="56"/>
  <c r="J43" i="56"/>
  <c r="M43" i="56"/>
  <c r="N43" i="56"/>
  <c r="O43" i="56"/>
  <c r="C44" i="56"/>
  <c r="D44" i="56"/>
  <c r="H44" i="56"/>
  <c r="I44" i="56"/>
  <c r="M44" i="56"/>
  <c r="N44" i="56"/>
  <c r="C47" i="56"/>
  <c r="D47" i="56"/>
  <c r="H47" i="56"/>
  <c r="I47" i="56"/>
  <c r="M47" i="56"/>
  <c r="N47" i="56"/>
  <c r="C48" i="56"/>
  <c r="D48" i="56"/>
  <c r="H48" i="56"/>
  <c r="I48" i="56"/>
  <c r="M48" i="56"/>
  <c r="N48" i="56"/>
  <c r="C49" i="56"/>
  <c r="D49" i="56"/>
  <c r="H49" i="56"/>
  <c r="I49" i="56"/>
  <c r="M49" i="56"/>
  <c r="N49" i="56"/>
  <c r="C50" i="56"/>
  <c r="D50" i="56"/>
  <c r="H50" i="56"/>
  <c r="I50" i="56"/>
  <c r="N50" i="56"/>
  <c r="D51" i="56"/>
  <c r="I51" i="56"/>
  <c r="M51" i="56"/>
  <c r="N51" i="56"/>
  <c r="C52" i="56"/>
  <c r="D52" i="56"/>
  <c r="H52" i="56"/>
  <c r="I52" i="56"/>
  <c r="C53" i="56"/>
  <c r="D53" i="56"/>
  <c r="H53" i="56"/>
  <c r="I53" i="56"/>
  <c r="M53" i="56"/>
  <c r="N53" i="56"/>
  <c r="C54" i="56"/>
  <c r="D30" i="53"/>
  <c r="F30" i="53"/>
  <c r="H30" i="53"/>
  <c r="I30" i="53"/>
  <c r="D33" i="53"/>
  <c r="F33" i="53"/>
  <c r="H33" i="53"/>
  <c r="I33" i="53"/>
  <c r="F35" i="53"/>
  <c r="I35" i="53"/>
  <c r="J18" i="28"/>
  <c r="K18" i="28"/>
  <c r="L18" i="28"/>
  <c r="M18" i="28"/>
  <c r="N18" i="28"/>
  <c r="O18" i="28"/>
  <c r="P18" i="28"/>
  <c r="J19" i="28"/>
  <c r="K19" i="28"/>
  <c r="L19" i="28"/>
  <c r="M19" i="28"/>
  <c r="N19" i="28"/>
  <c r="O19" i="28"/>
  <c r="P19" i="28"/>
  <c r="M20" i="28"/>
  <c r="N20" i="28"/>
  <c r="O20" i="28"/>
  <c r="P20" i="28"/>
  <c r="J25" i="28"/>
  <c r="K25" i="28"/>
  <c r="L25" i="28"/>
  <c r="M25" i="28"/>
  <c r="N25" i="28"/>
  <c r="O25" i="28"/>
  <c r="P25" i="28"/>
  <c r="P26" i="28"/>
  <c r="J27" i="28"/>
  <c r="K27" i="28"/>
  <c r="L27" i="28"/>
  <c r="M27" i="28"/>
  <c r="N27" i="28"/>
  <c r="O27" i="28"/>
  <c r="P27" i="28"/>
  <c r="G32" i="28"/>
  <c r="H32" i="28"/>
  <c r="I32" i="28"/>
  <c r="J32" i="28"/>
  <c r="K32" i="28"/>
  <c r="L32" i="28"/>
  <c r="G33" i="28"/>
  <c r="H33" i="28"/>
  <c r="I33" i="28"/>
  <c r="J33" i="28"/>
  <c r="K33" i="28"/>
  <c r="L33" i="28"/>
  <c r="G34" i="28"/>
  <c r="H34" i="28"/>
  <c r="I34" i="28"/>
  <c r="J34" i="28"/>
  <c r="K34" i="28"/>
  <c r="L34" i="28"/>
  <c r="G35" i="28"/>
  <c r="H35" i="28"/>
  <c r="I35" i="28"/>
  <c r="J35" i="28"/>
  <c r="K35" i="28"/>
  <c r="L35" i="28"/>
  <c r="G36" i="28"/>
  <c r="H36" i="28"/>
  <c r="I36" i="28"/>
  <c r="J36" i="28"/>
  <c r="K36" i="28"/>
  <c r="L36" i="28"/>
  <c r="G43" i="28"/>
  <c r="H43" i="28"/>
  <c r="I43" i="28"/>
  <c r="G44" i="28"/>
  <c r="H44" i="28"/>
  <c r="I44" i="28"/>
  <c r="G46" i="28"/>
  <c r="H46" i="28"/>
  <c r="I46" i="28"/>
  <c r="G48" i="28"/>
  <c r="H48" i="28"/>
  <c r="I48" i="28"/>
  <c r="J48" i="28"/>
  <c r="K48" i="28"/>
  <c r="L48" i="28"/>
  <c r="J51" i="28"/>
  <c r="K51" i="28"/>
  <c r="L51" i="28"/>
  <c r="M51" i="28"/>
  <c r="N51" i="28"/>
  <c r="O51" i="28"/>
  <c r="P51" i="28"/>
  <c r="J52" i="28"/>
  <c r="K52" i="28"/>
  <c r="L52" i="28"/>
  <c r="M52" i="28"/>
  <c r="N52" i="28"/>
  <c r="O52" i="28"/>
  <c r="P52" i="28"/>
  <c r="J53" i="28"/>
  <c r="G54" i="28"/>
  <c r="H54" i="28"/>
  <c r="I54" i="28"/>
  <c r="J54" i="28"/>
  <c r="K54" i="28"/>
  <c r="L54" i="28"/>
  <c r="E55" i="28"/>
  <c r="F55" i="28"/>
  <c r="G55" i="28"/>
  <c r="H55" i="28"/>
  <c r="I55" i="28"/>
  <c r="J55" i="28"/>
  <c r="K55" i="28"/>
  <c r="L55" i="28"/>
  <c r="M55" i="28"/>
  <c r="N55" i="28"/>
  <c r="O55" i="28"/>
  <c r="P55" i="28"/>
  <c r="E56" i="28"/>
  <c r="F56" i="28"/>
  <c r="G56" i="28"/>
  <c r="H56" i="28"/>
  <c r="I56" i="28"/>
  <c r="J56" i="28"/>
  <c r="K56" i="28"/>
  <c r="L56" i="28"/>
  <c r="M56" i="28"/>
  <c r="N56" i="28"/>
  <c r="O56" i="28"/>
  <c r="P56" i="28"/>
  <c r="E58" i="28"/>
  <c r="E59" i="28"/>
  <c r="E61" i="28"/>
  <c r="E62" i="28"/>
  <c r="K62" i="28"/>
  <c r="G68" i="28"/>
  <c r="H68" i="28"/>
  <c r="I68" i="28"/>
  <c r="G69" i="28"/>
  <c r="H69" i="28"/>
  <c r="I69" i="28"/>
  <c r="G72" i="28"/>
  <c r="H72" i="28"/>
  <c r="I72" i="28"/>
  <c r="G75" i="28"/>
  <c r="H75" i="28"/>
  <c r="I75" i="28"/>
  <c r="G76" i="28"/>
  <c r="H76" i="28"/>
  <c r="I76" i="28"/>
  <c r="J77" i="28"/>
  <c r="K77" i="28"/>
  <c r="L77" i="28"/>
  <c r="G80" i="28"/>
  <c r="H80" i="28"/>
  <c r="I80" i="28"/>
  <c r="G81" i="28"/>
  <c r="H81" i="28"/>
  <c r="I81" i="28"/>
  <c r="J81" i="28"/>
  <c r="K81" i="28"/>
  <c r="L81" i="28"/>
  <c r="F86" i="28"/>
  <c r="G86" i="28"/>
  <c r="H86" i="28"/>
  <c r="M86" i="28"/>
  <c r="O86" i="28"/>
  <c r="F87" i="28"/>
  <c r="G87" i="28"/>
  <c r="H87" i="28"/>
  <c r="M87" i="28"/>
  <c r="O87" i="28"/>
  <c r="F88" i="28"/>
  <c r="G88" i="28"/>
  <c r="H88" i="28"/>
  <c r="M88" i="28"/>
  <c r="O88" i="28"/>
  <c r="G89" i="28"/>
  <c r="H89" i="28"/>
  <c r="G90" i="28"/>
  <c r="H90" i="28"/>
  <c r="H91" i="28"/>
  <c r="M91" i="28"/>
  <c r="O91" i="28"/>
  <c r="M94" i="28"/>
  <c r="O94" i="28"/>
  <c r="O95" i="28"/>
  <c r="M97" i="28"/>
  <c r="O97" i="28"/>
  <c r="G99" i="28"/>
  <c r="E101" i="28"/>
  <c r="E102" i="28"/>
  <c r="K105" i="28"/>
  <c r="G12" i="49"/>
  <c r="R12" i="49"/>
  <c r="U12" i="49"/>
  <c r="G13" i="49"/>
  <c r="U13" i="49"/>
  <c r="G15" i="49"/>
  <c r="R15" i="49"/>
  <c r="U16" i="49"/>
  <c r="U18" i="49"/>
  <c r="U19" i="49"/>
  <c r="G20" i="49"/>
  <c r="U20" i="49"/>
  <c r="U22" i="49"/>
  <c r="G23" i="49"/>
  <c r="Q23" i="49"/>
  <c r="R23" i="49"/>
  <c r="G24" i="49"/>
  <c r="Q24" i="49"/>
  <c r="R24" i="49"/>
  <c r="G25" i="49"/>
  <c r="Q25" i="49"/>
  <c r="R25" i="49"/>
  <c r="Q26" i="49"/>
  <c r="R26" i="49"/>
  <c r="S26" i="49"/>
  <c r="R29" i="49"/>
  <c r="R31" i="49"/>
  <c r="G42" i="49"/>
  <c r="I45" i="49"/>
  <c r="J45" i="49"/>
  <c r="K45" i="49"/>
  <c r="L45" i="49"/>
  <c r="M45" i="49"/>
  <c r="N45" i="49"/>
  <c r="O45" i="49"/>
  <c r="P45" i="49"/>
  <c r="Q45" i="49"/>
  <c r="R45" i="49"/>
  <c r="S45" i="49"/>
  <c r="T45" i="49"/>
  <c r="U45" i="49"/>
  <c r="V45" i="49"/>
  <c r="W45" i="49"/>
  <c r="X45" i="49"/>
  <c r="Y45" i="49"/>
  <c r="Z45" i="49"/>
  <c r="AA45" i="49"/>
  <c r="AB45" i="49"/>
  <c r="AC45" i="49"/>
  <c r="AD45" i="49"/>
  <c r="AE45" i="49"/>
  <c r="AF45" i="49"/>
  <c r="AG45" i="49"/>
  <c r="AH45" i="49"/>
  <c r="AI45" i="49"/>
  <c r="AJ45" i="49"/>
  <c r="AK45" i="49"/>
  <c r="I46" i="49"/>
  <c r="J46" i="49"/>
  <c r="K46" i="49"/>
  <c r="L46" i="49"/>
  <c r="M46" i="49"/>
  <c r="N46" i="49"/>
  <c r="O46" i="49"/>
  <c r="P46" i="49"/>
  <c r="Q46" i="49"/>
  <c r="R46" i="49"/>
  <c r="S46" i="49"/>
  <c r="T46" i="49"/>
  <c r="U46" i="49"/>
  <c r="V46" i="49"/>
  <c r="W46" i="49"/>
  <c r="X46" i="49"/>
  <c r="Y46" i="49"/>
  <c r="Z46" i="49"/>
  <c r="AA46" i="49"/>
  <c r="AB46" i="49"/>
  <c r="AC46" i="49"/>
  <c r="AD46" i="49"/>
  <c r="AE46" i="49"/>
  <c r="AF46" i="49"/>
  <c r="AG46" i="49"/>
  <c r="AH46" i="49"/>
  <c r="AI46" i="49"/>
  <c r="AJ46" i="49"/>
  <c r="AK46" i="49"/>
  <c r="H48" i="49"/>
  <c r="I48" i="49"/>
  <c r="J48" i="49"/>
  <c r="K48" i="49"/>
  <c r="L48" i="49"/>
  <c r="M48" i="49"/>
  <c r="N48" i="49"/>
  <c r="O48" i="49"/>
  <c r="P48" i="49"/>
  <c r="Q48" i="49"/>
  <c r="R48" i="49"/>
  <c r="S48" i="49"/>
  <c r="T48" i="49"/>
  <c r="U48" i="49"/>
  <c r="V48" i="49"/>
  <c r="W48" i="49"/>
  <c r="X48" i="49"/>
  <c r="Y48" i="49"/>
  <c r="Z48" i="49"/>
  <c r="AA48" i="49"/>
  <c r="AB48" i="49"/>
  <c r="AC48" i="49"/>
  <c r="AD48" i="49"/>
  <c r="AE48" i="49"/>
  <c r="AF48" i="49"/>
  <c r="AG48" i="49"/>
  <c r="AH48" i="49"/>
  <c r="AI48" i="49"/>
  <c r="AJ48" i="49"/>
  <c r="AK48" i="49"/>
  <c r="H49" i="49"/>
  <c r="I49" i="49"/>
  <c r="J49" i="49"/>
  <c r="K49" i="49"/>
  <c r="L49" i="49"/>
  <c r="M49" i="49"/>
  <c r="N49" i="49"/>
  <c r="O49" i="49"/>
  <c r="P49" i="49"/>
  <c r="Q49" i="49"/>
  <c r="R49" i="49"/>
  <c r="S49" i="49"/>
  <c r="T49" i="49"/>
  <c r="U49" i="49"/>
  <c r="V49" i="49"/>
  <c r="W49" i="49"/>
  <c r="X49" i="49"/>
  <c r="Y49" i="49"/>
  <c r="Z49" i="49"/>
  <c r="AA49" i="49"/>
  <c r="AB49" i="49"/>
  <c r="AC49" i="49"/>
  <c r="AD49" i="49"/>
  <c r="AE49" i="49"/>
  <c r="AF49" i="49"/>
  <c r="AG49" i="49"/>
  <c r="AH49" i="49"/>
  <c r="AI49" i="49"/>
  <c r="AJ49" i="49"/>
  <c r="AK49" i="49"/>
  <c r="I51" i="49"/>
  <c r="J51" i="49"/>
  <c r="K51" i="49"/>
  <c r="L51" i="49"/>
  <c r="M51" i="49"/>
  <c r="N51" i="49"/>
  <c r="O51" i="49"/>
  <c r="P51" i="49"/>
  <c r="Q51" i="49"/>
  <c r="R51" i="49"/>
  <c r="S51" i="49"/>
  <c r="T51" i="49"/>
  <c r="U51" i="49"/>
  <c r="V51" i="49"/>
  <c r="W51" i="49"/>
  <c r="X51" i="49"/>
  <c r="Y51" i="49"/>
  <c r="Z51" i="49"/>
  <c r="AA51" i="49"/>
  <c r="AB51" i="49"/>
  <c r="AC51" i="49"/>
  <c r="AD51" i="49"/>
  <c r="AE51" i="49"/>
  <c r="AF51" i="49"/>
  <c r="AG51" i="49"/>
  <c r="AH51" i="49"/>
  <c r="AI51" i="49"/>
  <c r="AJ51" i="49"/>
  <c r="AK51" i="49"/>
  <c r="H52" i="49"/>
  <c r="I52" i="49"/>
  <c r="J52" i="49"/>
  <c r="K52" i="49"/>
  <c r="L52" i="49"/>
  <c r="M52" i="49"/>
  <c r="N52" i="49"/>
  <c r="O52" i="49"/>
  <c r="P52" i="49"/>
  <c r="Q52" i="49"/>
  <c r="R52" i="49"/>
  <c r="S52" i="49"/>
  <c r="T52" i="49"/>
  <c r="U52" i="49"/>
  <c r="V52" i="49"/>
  <c r="W52" i="49"/>
  <c r="X52" i="49"/>
  <c r="Y52" i="49"/>
  <c r="Z52" i="49"/>
  <c r="AA52" i="49"/>
  <c r="AB52" i="49"/>
  <c r="AC52" i="49"/>
  <c r="AD52" i="49"/>
  <c r="AE52" i="49"/>
  <c r="AF52" i="49"/>
  <c r="AG52" i="49"/>
  <c r="AH52" i="49"/>
  <c r="AI52" i="49"/>
  <c r="AJ52" i="49"/>
  <c r="AK52" i="49"/>
  <c r="H54" i="49"/>
  <c r="I54" i="49"/>
  <c r="J54" i="49"/>
  <c r="K54" i="49"/>
  <c r="L54" i="49"/>
  <c r="M54" i="49"/>
  <c r="N54" i="49"/>
  <c r="O54" i="49"/>
  <c r="P54" i="49"/>
  <c r="Q54" i="49"/>
  <c r="R54" i="49"/>
  <c r="S54" i="49"/>
  <c r="T54" i="49"/>
  <c r="U54" i="49"/>
  <c r="V54" i="49"/>
  <c r="W54" i="49"/>
  <c r="X54" i="49"/>
  <c r="Y54" i="49"/>
  <c r="Z54" i="49"/>
  <c r="AA54" i="49"/>
  <c r="AB54" i="49"/>
  <c r="AC54" i="49"/>
  <c r="AD54" i="49"/>
  <c r="AE54" i="49"/>
  <c r="AF54" i="49"/>
  <c r="AG54" i="49"/>
  <c r="AH54" i="49"/>
  <c r="AI54" i="49"/>
  <c r="AJ54" i="49"/>
  <c r="AK54" i="49"/>
  <c r="H55" i="49"/>
  <c r="I55" i="49"/>
  <c r="J55" i="49"/>
  <c r="K55" i="49"/>
  <c r="L55" i="49"/>
  <c r="M55" i="49"/>
  <c r="N55" i="49"/>
  <c r="O55" i="49"/>
  <c r="P55" i="49"/>
  <c r="Q55" i="49"/>
  <c r="R55" i="49"/>
  <c r="S55" i="49"/>
  <c r="T55" i="49"/>
  <c r="U55" i="49"/>
  <c r="V55" i="49"/>
  <c r="W55" i="49"/>
  <c r="X55" i="49"/>
  <c r="Y55" i="49"/>
  <c r="Z55" i="49"/>
  <c r="AA55" i="49"/>
  <c r="AB55" i="49"/>
  <c r="AC55" i="49"/>
  <c r="AD55" i="49"/>
  <c r="AE55" i="49"/>
  <c r="AF55" i="49"/>
  <c r="AG55" i="49"/>
  <c r="AH55" i="49"/>
  <c r="AI55" i="49"/>
  <c r="AJ55" i="49"/>
  <c r="AK55" i="49"/>
  <c r="H56" i="49"/>
  <c r="I56" i="49"/>
  <c r="J56" i="49"/>
  <c r="K56" i="49"/>
  <c r="L56" i="49"/>
  <c r="M56" i="49"/>
  <c r="N56" i="49"/>
  <c r="O56" i="49"/>
  <c r="P56" i="49"/>
  <c r="Q56" i="49"/>
  <c r="R56" i="49"/>
  <c r="S56" i="49"/>
  <c r="T56" i="49"/>
  <c r="U56" i="49"/>
  <c r="V56" i="49"/>
  <c r="W56" i="49"/>
  <c r="X56" i="49"/>
  <c r="Y56" i="49"/>
  <c r="Z56" i="49"/>
  <c r="AA56" i="49"/>
  <c r="AB56" i="49"/>
  <c r="AC56" i="49"/>
  <c r="AD56" i="49"/>
  <c r="AE56" i="49"/>
  <c r="AF56" i="49"/>
  <c r="AG56" i="49"/>
  <c r="AH56" i="49"/>
  <c r="AI56" i="49"/>
  <c r="AJ56" i="49"/>
  <c r="AK56" i="49"/>
  <c r="H57" i="49"/>
  <c r="I57" i="49"/>
  <c r="J57" i="49"/>
  <c r="K57" i="49"/>
  <c r="L57" i="49"/>
  <c r="M57" i="49"/>
  <c r="N57" i="49"/>
  <c r="O57" i="49"/>
  <c r="P57" i="49"/>
  <c r="Q57" i="49"/>
  <c r="R57" i="49"/>
  <c r="S57" i="49"/>
  <c r="T57" i="49"/>
  <c r="U57" i="49"/>
  <c r="V57" i="49"/>
  <c r="W57" i="49"/>
  <c r="X57" i="49"/>
  <c r="Y57" i="49"/>
  <c r="Z57" i="49"/>
  <c r="AA57" i="49"/>
  <c r="AB57" i="49"/>
  <c r="AC57" i="49"/>
  <c r="AD57" i="49"/>
  <c r="AE57" i="49"/>
  <c r="AF57" i="49"/>
  <c r="AG57" i="49"/>
  <c r="AH57" i="49"/>
  <c r="AI57" i="49"/>
  <c r="AJ57" i="49"/>
  <c r="AK57" i="49"/>
  <c r="Q59" i="49"/>
  <c r="G61" i="49"/>
  <c r="H61" i="49"/>
  <c r="I61" i="49"/>
  <c r="J61" i="49"/>
  <c r="K61" i="49"/>
  <c r="L61" i="49"/>
  <c r="M61" i="49"/>
  <c r="N61" i="49"/>
  <c r="O61" i="49"/>
  <c r="P61" i="49"/>
  <c r="Q61" i="49"/>
  <c r="F63" i="49"/>
  <c r="F64" i="49"/>
  <c r="F65" i="49"/>
  <c r="F66" i="49"/>
  <c r="F67" i="49"/>
  <c r="G69" i="49"/>
  <c r="Q70" i="49"/>
  <c r="H71" i="49"/>
  <c r="I71" i="49"/>
  <c r="J71" i="49"/>
  <c r="K71" i="49"/>
  <c r="L71" i="49"/>
  <c r="M71" i="49"/>
  <c r="N71" i="49"/>
  <c r="O71" i="49"/>
  <c r="P71" i="49"/>
  <c r="Q71" i="49"/>
  <c r="G73" i="49"/>
  <c r="H73" i="49"/>
  <c r="I73" i="49"/>
  <c r="J73" i="49"/>
  <c r="K73" i="49"/>
  <c r="L73" i="49"/>
  <c r="M73" i="49"/>
  <c r="N73" i="49"/>
  <c r="O73" i="49"/>
  <c r="P73" i="49"/>
  <c r="Q73" i="49"/>
  <c r="F75" i="49"/>
  <c r="F76" i="49"/>
  <c r="F77" i="49"/>
  <c r="F78" i="49"/>
  <c r="F79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Z83" i="49"/>
  <c r="AA83" i="49"/>
  <c r="AB83" i="49"/>
  <c r="AC83" i="49"/>
  <c r="AD83" i="49"/>
  <c r="AE83" i="49"/>
  <c r="AF83" i="49"/>
  <c r="AG83" i="49"/>
  <c r="AH83" i="49"/>
  <c r="AI83" i="49"/>
  <c r="AJ83" i="49"/>
  <c r="AK83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Z84" i="49"/>
  <c r="AA84" i="49"/>
  <c r="AB84" i="49"/>
  <c r="AC84" i="49"/>
  <c r="AD84" i="49"/>
  <c r="AE84" i="49"/>
  <c r="AF84" i="49"/>
  <c r="AG84" i="49"/>
  <c r="AH84" i="49"/>
  <c r="AI84" i="49"/>
  <c r="AJ84" i="49"/>
  <c r="AK84" i="49"/>
  <c r="H85" i="49"/>
  <c r="I85" i="49"/>
  <c r="J85" i="49"/>
  <c r="K85" i="49"/>
  <c r="L85" i="49"/>
  <c r="M85" i="49"/>
  <c r="N85" i="49"/>
  <c r="O85" i="49"/>
  <c r="P85" i="49"/>
  <c r="Q85" i="49"/>
  <c r="H86" i="49"/>
  <c r="I86" i="49"/>
  <c r="J86" i="49"/>
  <c r="K86" i="49"/>
  <c r="L86" i="49"/>
  <c r="M86" i="49"/>
  <c r="N86" i="49"/>
  <c r="O86" i="49"/>
  <c r="P86" i="49"/>
  <c r="Q86" i="49"/>
  <c r="H87" i="49"/>
  <c r="I87" i="49"/>
  <c r="J87" i="49"/>
  <c r="K87" i="49"/>
  <c r="L87" i="49"/>
  <c r="M87" i="49"/>
  <c r="N87" i="49"/>
  <c r="O87" i="49"/>
  <c r="P87" i="49"/>
  <c r="Q87" i="49"/>
  <c r="R87" i="49"/>
  <c r="S87" i="49"/>
  <c r="T87" i="49"/>
  <c r="U87" i="49"/>
  <c r="V87" i="49"/>
  <c r="W87" i="49"/>
  <c r="X87" i="49"/>
  <c r="Y87" i="49"/>
  <c r="Z87" i="49"/>
  <c r="AA87" i="49"/>
  <c r="AB87" i="49"/>
  <c r="AC87" i="49"/>
  <c r="AD87" i="49"/>
  <c r="AE87" i="49"/>
  <c r="AF87" i="49"/>
  <c r="AG87" i="49"/>
  <c r="AH87" i="49"/>
  <c r="AI87" i="49"/>
  <c r="AJ87" i="49"/>
  <c r="AK87" i="49"/>
  <c r="R12" i="40"/>
  <c r="R13" i="40"/>
  <c r="R14" i="40"/>
  <c r="R17" i="40"/>
  <c r="R18" i="40"/>
  <c r="R19" i="40"/>
  <c r="G32" i="40"/>
  <c r="G33" i="40"/>
  <c r="G38" i="40"/>
  <c r="G59" i="40"/>
  <c r="G63" i="40"/>
  <c r="G65" i="40"/>
  <c r="G67" i="40"/>
  <c r="G68" i="40"/>
  <c r="G69" i="40"/>
  <c r="G71" i="40"/>
  <c r="Q72" i="40"/>
  <c r="H73" i="40"/>
  <c r="I73" i="40"/>
  <c r="J73" i="40"/>
  <c r="K73" i="40"/>
  <c r="L73" i="40"/>
  <c r="M73" i="40"/>
  <c r="N73" i="40"/>
  <c r="O73" i="40"/>
  <c r="P73" i="40"/>
  <c r="Q73" i="40"/>
  <c r="G75" i="40"/>
  <c r="H75" i="40"/>
  <c r="I75" i="40"/>
  <c r="J75" i="40"/>
  <c r="K75" i="40"/>
  <c r="L75" i="40"/>
  <c r="M75" i="40"/>
  <c r="N75" i="40"/>
  <c r="O75" i="40"/>
  <c r="P75" i="40"/>
  <c r="Q75" i="40"/>
  <c r="G77" i="40"/>
  <c r="G78" i="40"/>
  <c r="G79" i="40"/>
  <c r="G80" i="40"/>
  <c r="G81" i="40"/>
  <c r="E92" i="40"/>
  <c r="L6" i="41"/>
  <c r="L7" i="41"/>
  <c r="L8" i="41"/>
  <c r="L11" i="41"/>
  <c r="L12" i="41"/>
  <c r="L13" i="41"/>
  <c r="G26" i="41"/>
  <c r="G27" i="41"/>
  <c r="G30" i="41"/>
  <c r="G61" i="41"/>
  <c r="G65" i="41"/>
  <c r="G67" i="41"/>
  <c r="G69" i="41"/>
  <c r="G70" i="41"/>
  <c r="G71" i="41"/>
  <c r="G73" i="41"/>
  <c r="Q74" i="41"/>
  <c r="H75" i="41"/>
  <c r="I75" i="41"/>
  <c r="J75" i="41"/>
  <c r="K75" i="41"/>
  <c r="L75" i="41"/>
  <c r="M75" i="41"/>
  <c r="N75" i="41"/>
  <c r="O75" i="41"/>
  <c r="P75" i="41"/>
  <c r="Q75" i="41"/>
  <c r="G77" i="41"/>
  <c r="H77" i="41"/>
  <c r="I77" i="41"/>
  <c r="J77" i="41"/>
  <c r="K77" i="41"/>
  <c r="L77" i="41"/>
  <c r="M77" i="41"/>
  <c r="N77" i="41"/>
  <c r="O77" i="41"/>
  <c r="P77" i="41"/>
  <c r="Q77" i="41"/>
  <c r="G79" i="41"/>
  <c r="G80" i="41"/>
  <c r="G81" i="41"/>
  <c r="G82" i="41"/>
  <c r="G83" i="41"/>
  <c r="E87" i="41"/>
  <c r="G12" i="39"/>
  <c r="R12" i="39"/>
  <c r="G13" i="39"/>
  <c r="G15" i="39"/>
  <c r="R15" i="39"/>
  <c r="G20" i="39"/>
  <c r="Q23" i="39"/>
  <c r="R23" i="39"/>
  <c r="Q24" i="39"/>
  <c r="R24" i="39"/>
  <c r="R25" i="39"/>
  <c r="G27" i="39"/>
  <c r="G28" i="39"/>
  <c r="R28" i="39"/>
  <c r="G29" i="39"/>
  <c r="R30" i="39"/>
  <c r="G42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AK45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AK46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AK47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AK52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AK53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AK55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AK56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AK57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AK58" i="39"/>
  <c r="Q60" i="39"/>
  <c r="G62" i="39"/>
  <c r="H62" i="39"/>
  <c r="I62" i="39"/>
  <c r="J62" i="39"/>
  <c r="K62" i="39"/>
  <c r="L62" i="39"/>
  <c r="M62" i="39"/>
  <c r="N62" i="39"/>
  <c r="O62" i="39"/>
  <c r="P62" i="39"/>
  <c r="Q62" i="39"/>
  <c r="F64" i="39"/>
  <c r="F65" i="39"/>
  <c r="F66" i="39"/>
  <c r="F67" i="39"/>
  <c r="F68" i="39"/>
  <c r="G70" i="39"/>
  <c r="Q71" i="39"/>
  <c r="H72" i="39"/>
  <c r="I72" i="39"/>
  <c r="J72" i="39"/>
  <c r="K72" i="39"/>
  <c r="L72" i="39"/>
  <c r="M72" i="39"/>
  <c r="N72" i="39"/>
  <c r="O72" i="39"/>
  <c r="P72" i="39"/>
  <c r="Q72" i="39"/>
  <c r="G74" i="39"/>
  <c r="H74" i="39"/>
  <c r="I74" i="39"/>
  <c r="J74" i="39"/>
  <c r="K74" i="39"/>
  <c r="L74" i="39"/>
  <c r="M74" i="39"/>
  <c r="N74" i="39"/>
  <c r="O74" i="39"/>
  <c r="P74" i="39"/>
  <c r="Q74" i="39"/>
  <c r="F76" i="39"/>
  <c r="F77" i="39"/>
  <c r="F78" i="39"/>
  <c r="F79" i="39"/>
  <c r="F80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AK83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AK84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AK85" i="39"/>
  <c r="H86" i="39"/>
  <c r="I86" i="39"/>
  <c r="J86" i="39"/>
  <c r="K86" i="39"/>
  <c r="L86" i="39"/>
  <c r="M86" i="39"/>
  <c r="N86" i="39"/>
  <c r="O86" i="39"/>
  <c r="P86" i="39"/>
  <c r="Q86" i="39"/>
  <c r="H87" i="39"/>
  <c r="I87" i="39"/>
  <c r="J87" i="39"/>
  <c r="K87" i="39"/>
  <c r="L87" i="39"/>
  <c r="M87" i="39"/>
  <c r="N87" i="39"/>
  <c r="O87" i="39"/>
  <c r="P87" i="39"/>
  <c r="Q87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AK88" i="39"/>
  <c r="R12" i="42"/>
  <c r="R13" i="42"/>
  <c r="R14" i="42"/>
  <c r="R17" i="42"/>
  <c r="R18" i="42"/>
  <c r="R19" i="42"/>
  <c r="G34" i="42"/>
  <c r="G35" i="42"/>
  <c r="G40" i="42"/>
  <c r="G61" i="42"/>
  <c r="G65" i="42"/>
  <c r="G67" i="42"/>
  <c r="G69" i="42"/>
  <c r="G70" i="42"/>
  <c r="G71" i="42"/>
  <c r="G73" i="42"/>
  <c r="Q74" i="42"/>
  <c r="H75" i="42"/>
  <c r="I75" i="42"/>
  <c r="J75" i="42"/>
  <c r="K75" i="42"/>
  <c r="L75" i="42"/>
  <c r="M75" i="42"/>
  <c r="N75" i="42"/>
  <c r="O75" i="42"/>
  <c r="P75" i="42"/>
  <c r="Q75" i="42"/>
  <c r="G77" i="42"/>
  <c r="H77" i="42"/>
  <c r="I77" i="42"/>
  <c r="J77" i="42"/>
  <c r="K77" i="42"/>
  <c r="L77" i="42"/>
  <c r="M77" i="42"/>
  <c r="N77" i="42"/>
  <c r="O77" i="42"/>
  <c r="P77" i="42"/>
  <c r="Q77" i="42"/>
  <c r="G79" i="42"/>
  <c r="G80" i="42"/>
  <c r="G81" i="42"/>
  <c r="G82" i="42"/>
  <c r="G83" i="42"/>
  <c r="E94" i="42"/>
  <c r="D19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W19" i="35"/>
  <c r="X19" i="35"/>
  <c r="Y19" i="35"/>
  <c r="Z19" i="35"/>
  <c r="AA19" i="35"/>
  <c r="AB19" i="35"/>
  <c r="AC19" i="35"/>
  <c r="AD19" i="35"/>
  <c r="AE19" i="35"/>
  <c r="AF19" i="35"/>
  <c r="AG19" i="35"/>
  <c r="AH19" i="35"/>
  <c r="AI19" i="35"/>
  <c r="AJ19" i="35"/>
  <c r="D20" i="35"/>
  <c r="F20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E20" i="35"/>
  <c r="AF20" i="35"/>
  <c r="AG20" i="35"/>
  <c r="AH20" i="35"/>
  <c r="AI20" i="35"/>
  <c r="AJ20" i="35"/>
  <c r="D21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AA21" i="35"/>
  <c r="AB21" i="35"/>
  <c r="AC21" i="35"/>
  <c r="AD21" i="35"/>
  <c r="AE21" i="35"/>
  <c r="AF21" i="35"/>
  <c r="AG21" i="35"/>
  <c r="AH21" i="35"/>
  <c r="AI21" i="35"/>
  <c r="AJ21" i="35"/>
  <c r="D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AE22" i="35"/>
  <c r="AF22" i="35"/>
  <c r="AG22" i="35"/>
  <c r="AH22" i="35"/>
  <c r="AI22" i="35"/>
  <c r="AJ22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AE25" i="35"/>
  <c r="AF25" i="35"/>
  <c r="AG25" i="35"/>
  <c r="AH25" i="35"/>
  <c r="AI25" i="35"/>
  <c r="AJ25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AE26" i="35"/>
  <c r="AF26" i="35"/>
  <c r="AG26" i="35"/>
  <c r="AH26" i="35"/>
  <c r="AI26" i="35"/>
  <c r="AJ26" i="35"/>
  <c r="D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E30" i="35"/>
  <c r="AF30" i="35"/>
  <c r="AG30" i="35"/>
  <c r="AH30" i="35"/>
  <c r="AI30" i="35"/>
  <c r="AJ30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AJ33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E38" i="35"/>
  <c r="AF38" i="35"/>
  <c r="AG38" i="35"/>
  <c r="AH38" i="35"/>
  <c r="AI38" i="35"/>
  <c r="AJ38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AE40" i="35"/>
  <c r="AF40" i="35"/>
  <c r="AG40" i="35"/>
  <c r="AH40" i="35"/>
  <c r="AI40" i="35"/>
  <c r="AJ40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AE42" i="35"/>
  <c r="AF42" i="35"/>
  <c r="AG42" i="35"/>
  <c r="AH42" i="35"/>
  <c r="AI42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E43" i="35"/>
  <c r="AF43" i="35"/>
  <c r="AG43" i="35"/>
  <c r="AH43" i="35"/>
  <c r="AI43" i="35"/>
  <c r="Q44" i="35"/>
  <c r="D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D48" i="35"/>
  <c r="D49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AE52" i="35"/>
  <c r="AF52" i="35"/>
  <c r="AG52" i="35"/>
  <c r="AH52" i="35"/>
  <c r="AI52" i="35"/>
  <c r="AJ52" i="35"/>
  <c r="D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AE53" i="35"/>
  <c r="AF53" i="35"/>
  <c r="AG53" i="35"/>
  <c r="AH53" i="35"/>
  <c r="AI53" i="35"/>
  <c r="AJ53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AE54" i="35"/>
  <c r="AF54" i="35"/>
  <c r="AG54" i="35"/>
  <c r="AH54" i="35"/>
  <c r="AI54" i="35"/>
  <c r="AJ54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AE56" i="35"/>
  <c r="AF56" i="35"/>
  <c r="AG56" i="35"/>
  <c r="AH56" i="35"/>
  <c r="AI56" i="35"/>
  <c r="AJ56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AE59" i="35"/>
  <c r="AF59" i="35"/>
  <c r="AG59" i="35"/>
  <c r="AH59" i="35"/>
  <c r="AI59" i="35"/>
  <c r="AJ59" i="35"/>
  <c r="D60" i="35"/>
  <c r="H60" i="35"/>
  <c r="D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AE61" i="35"/>
  <c r="AF61" i="35"/>
  <c r="AG61" i="35"/>
  <c r="AH61" i="35"/>
  <c r="AI61" i="35"/>
  <c r="AJ61" i="35"/>
  <c r="D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AE62" i="35"/>
  <c r="AF62" i="35"/>
  <c r="AG62" i="35"/>
  <c r="AH62" i="35"/>
  <c r="AI62" i="35"/>
  <c r="AJ62" i="35"/>
  <c r="K63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AE66" i="35"/>
  <c r="AF66" i="35"/>
  <c r="AG66" i="35"/>
  <c r="AH66" i="35"/>
  <c r="AI66" i="35"/>
  <c r="AJ66" i="35"/>
  <c r="R69" i="35"/>
  <c r="S69" i="35"/>
  <c r="T69" i="35"/>
  <c r="U69" i="35"/>
  <c r="V69" i="35"/>
  <c r="W69" i="35"/>
  <c r="X69" i="35"/>
  <c r="Y69" i="35"/>
  <c r="Z69" i="35"/>
  <c r="AA69" i="35"/>
  <c r="AB69" i="35"/>
  <c r="AC69" i="35"/>
  <c r="AD69" i="35"/>
  <c r="AE69" i="35"/>
  <c r="AF69" i="35"/>
  <c r="AG69" i="35"/>
  <c r="AH69" i="35"/>
  <c r="AI69" i="35"/>
  <c r="AJ69" i="35"/>
  <c r="K70" i="35"/>
  <c r="Q71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AD72" i="35"/>
  <c r="AE72" i="35"/>
  <c r="AF72" i="35"/>
  <c r="AG72" i="35"/>
  <c r="AH72" i="35"/>
  <c r="AI72" i="35"/>
  <c r="AJ72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D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D77" i="35"/>
  <c r="D78" i="35"/>
  <c r="H14" i="29"/>
  <c r="G15" i="29"/>
  <c r="H15" i="29"/>
  <c r="I15" i="29"/>
  <c r="G16" i="29"/>
  <c r="H16" i="29"/>
  <c r="I16" i="29"/>
  <c r="G17" i="29"/>
  <c r="H17" i="29"/>
  <c r="I17" i="29"/>
  <c r="G18" i="29"/>
  <c r="H18" i="29"/>
  <c r="I18" i="29"/>
  <c r="G19" i="29"/>
  <c r="H19" i="29"/>
  <c r="I19" i="29"/>
  <c r="G20" i="29"/>
  <c r="H20" i="29"/>
  <c r="G23" i="29"/>
  <c r="H23" i="29"/>
  <c r="G24" i="29"/>
  <c r="H24" i="29"/>
  <c r="G25" i="29"/>
  <c r="H25" i="29"/>
  <c r="G26" i="29"/>
  <c r="H26" i="29"/>
  <c r="H27" i="29"/>
  <c r="G28" i="29"/>
  <c r="H28" i="29"/>
  <c r="G29" i="29"/>
  <c r="H29" i="29"/>
  <c r="K29" i="29"/>
  <c r="I36" i="29"/>
  <c r="I47" i="29"/>
  <c r="I48" i="29"/>
  <c r="I49" i="29"/>
  <c r="R12" i="50"/>
  <c r="U13" i="50"/>
  <c r="R15" i="50"/>
  <c r="U16" i="50"/>
  <c r="U18" i="50"/>
  <c r="U19" i="50"/>
  <c r="U20" i="50"/>
  <c r="U22" i="50"/>
  <c r="G23" i="50"/>
  <c r="Q23" i="50"/>
  <c r="R23" i="50"/>
  <c r="Q24" i="50"/>
  <c r="R24" i="50"/>
  <c r="Q25" i="50"/>
  <c r="R25" i="50"/>
  <c r="R26" i="50"/>
  <c r="R29" i="50"/>
  <c r="R31" i="50"/>
  <c r="G42" i="50"/>
  <c r="G61" i="50"/>
  <c r="F63" i="50"/>
  <c r="F65" i="50"/>
  <c r="F66" i="50"/>
  <c r="F67" i="50"/>
  <c r="G69" i="50"/>
  <c r="Q70" i="50"/>
  <c r="H71" i="50"/>
  <c r="I71" i="50"/>
  <c r="J71" i="50"/>
  <c r="K71" i="50"/>
  <c r="L71" i="50"/>
  <c r="M71" i="50"/>
  <c r="N71" i="50"/>
  <c r="O71" i="50"/>
  <c r="P71" i="50"/>
  <c r="Q71" i="50"/>
  <c r="G73" i="50"/>
  <c r="H73" i="50"/>
  <c r="I73" i="50"/>
  <c r="J73" i="50"/>
  <c r="K73" i="50"/>
  <c r="L73" i="50"/>
  <c r="M73" i="50"/>
  <c r="N73" i="50"/>
  <c r="O73" i="50"/>
  <c r="P73" i="50"/>
  <c r="Q73" i="50"/>
  <c r="F75" i="50"/>
  <c r="F76" i="50"/>
  <c r="F77" i="50"/>
  <c r="F78" i="50"/>
  <c r="F79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H85" i="50"/>
  <c r="I85" i="50"/>
  <c r="J85" i="50"/>
  <c r="K85" i="50"/>
  <c r="L85" i="50"/>
  <c r="M85" i="50"/>
  <c r="N85" i="50"/>
  <c r="O85" i="50"/>
  <c r="P85" i="50"/>
  <c r="Q85" i="50"/>
  <c r="H86" i="50"/>
  <c r="I86" i="50"/>
  <c r="J86" i="50"/>
  <c r="K86" i="50"/>
  <c r="L86" i="50"/>
  <c r="M86" i="50"/>
  <c r="N86" i="50"/>
  <c r="O86" i="50"/>
  <c r="P86" i="50"/>
  <c r="Q86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G12" i="46"/>
  <c r="M12" i="46"/>
  <c r="N12" i="46"/>
  <c r="R12" i="46"/>
  <c r="M13" i="46"/>
  <c r="R13" i="46"/>
  <c r="M14" i="46"/>
  <c r="R14" i="46"/>
  <c r="M17" i="46"/>
  <c r="R17" i="46"/>
  <c r="M18" i="46"/>
  <c r="R18" i="46"/>
  <c r="M19" i="46"/>
  <c r="R19" i="46"/>
  <c r="M20" i="46"/>
  <c r="M21" i="46"/>
  <c r="M22" i="46"/>
  <c r="M24" i="46"/>
  <c r="G32" i="46"/>
  <c r="G33" i="46"/>
  <c r="G38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U40" i="46"/>
  <c r="V40" i="46"/>
  <c r="W40" i="46"/>
  <c r="X40" i="46"/>
  <c r="Y40" i="46"/>
  <c r="Z40" i="46"/>
  <c r="AA40" i="46"/>
  <c r="AB40" i="46"/>
  <c r="AC40" i="46"/>
  <c r="AD40" i="46"/>
  <c r="AE40" i="46"/>
  <c r="AF40" i="46"/>
  <c r="AG40" i="46"/>
  <c r="AH40" i="46"/>
  <c r="AI40" i="46"/>
  <c r="AJ40" i="46"/>
  <c r="AK40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U41" i="46"/>
  <c r="V41" i="46"/>
  <c r="W41" i="46"/>
  <c r="X41" i="46"/>
  <c r="Y41" i="46"/>
  <c r="Z41" i="46"/>
  <c r="AA41" i="46"/>
  <c r="AB41" i="46"/>
  <c r="AC41" i="46"/>
  <c r="AD41" i="46"/>
  <c r="AE41" i="46"/>
  <c r="AF41" i="46"/>
  <c r="AG41" i="46"/>
  <c r="AH41" i="46"/>
  <c r="AI41" i="46"/>
  <c r="AJ41" i="46"/>
  <c r="AK41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U43" i="46"/>
  <c r="V43" i="46"/>
  <c r="W43" i="46"/>
  <c r="X43" i="46"/>
  <c r="Y43" i="46"/>
  <c r="Z43" i="46"/>
  <c r="AA43" i="46"/>
  <c r="AB43" i="46"/>
  <c r="AC43" i="46"/>
  <c r="AD43" i="46"/>
  <c r="AE43" i="46"/>
  <c r="AF43" i="46"/>
  <c r="AG43" i="46"/>
  <c r="AH43" i="46"/>
  <c r="AI43" i="46"/>
  <c r="AJ43" i="46"/>
  <c r="AK43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AA46" i="46"/>
  <c r="AB46" i="46"/>
  <c r="AC46" i="46"/>
  <c r="AD46" i="46"/>
  <c r="AE46" i="46"/>
  <c r="AF46" i="46"/>
  <c r="AG46" i="46"/>
  <c r="AH46" i="46"/>
  <c r="AI46" i="46"/>
  <c r="AJ46" i="46"/>
  <c r="AK46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AA47" i="46"/>
  <c r="AB47" i="46"/>
  <c r="AC47" i="46"/>
  <c r="AD47" i="46"/>
  <c r="AE47" i="46"/>
  <c r="AF47" i="46"/>
  <c r="AG47" i="46"/>
  <c r="AH47" i="46"/>
  <c r="AI47" i="46"/>
  <c r="AJ47" i="46"/>
  <c r="AK47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W48" i="46"/>
  <c r="X48" i="46"/>
  <c r="Y48" i="46"/>
  <c r="Z48" i="46"/>
  <c r="AA48" i="46"/>
  <c r="AB48" i="46"/>
  <c r="AC48" i="46"/>
  <c r="AD48" i="46"/>
  <c r="AE48" i="46"/>
  <c r="AF48" i="46"/>
  <c r="AG48" i="46"/>
  <c r="AH48" i="46"/>
  <c r="AI48" i="46"/>
  <c r="AJ48" i="46"/>
  <c r="AK48" i="46"/>
  <c r="H49" i="46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W49" i="46"/>
  <c r="X49" i="46"/>
  <c r="Y49" i="46"/>
  <c r="Z49" i="46"/>
  <c r="AA49" i="46"/>
  <c r="AB49" i="46"/>
  <c r="AC49" i="46"/>
  <c r="AD49" i="46"/>
  <c r="AE49" i="46"/>
  <c r="AF49" i="46"/>
  <c r="AG49" i="46"/>
  <c r="AH49" i="46"/>
  <c r="AI49" i="46"/>
  <c r="AJ49" i="46"/>
  <c r="AK49" i="46"/>
  <c r="H50" i="46"/>
  <c r="I50" i="46"/>
  <c r="J50" i="46"/>
  <c r="K50" i="46"/>
  <c r="L50" i="46"/>
  <c r="M50" i="46"/>
  <c r="N50" i="46"/>
  <c r="O50" i="46"/>
  <c r="P50" i="46"/>
  <c r="Q50" i="46"/>
  <c r="R50" i="46"/>
  <c r="S50" i="46"/>
  <c r="T50" i="46"/>
  <c r="U50" i="46"/>
  <c r="V50" i="46"/>
  <c r="W50" i="46"/>
  <c r="X50" i="46"/>
  <c r="Y50" i="46"/>
  <c r="Z50" i="46"/>
  <c r="AA50" i="46"/>
  <c r="AB50" i="46"/>
  <c r="AC50" i="46"/>
  <c r="AD50" i="46"/>
  <c r="AE50" i="46"/>
  <c r="AF50" i="46"/>
  <c r="AG50" i="46"/>
  <c r="AH50" i="46"/>
  <c r="AI50" i="46"/>
  <c r="AJ50" i="46"/>
  <c r="AK50" i="46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W51" i="46"/>
  <c r="X51" i="46"/>
  <c r="Y51" i="46"/>
  <c r="Z51" i="46"/>
  <c r="AA51" i="46"/>
  <c r="AB51" i="46"/>
  <c r="AC51" i="46"/>
  <c r="AD51" i="46"/>
  <c r="AE51" i="46"/>
  <c r="AF51" i="46"/>
  <c r="AG51" i="46"/>
  <c r="AH51" i="46"/>
  <c r="AI51" i="46"/>
  <c r="AJ51" i="46"/>
  <c r="AK51" i="46"/>
  <c r="H53" i="46"/>
  <c r="I53" i="46"/>
  <c r="J53" i="46"/>
  <c r="K53" i="46"/>
  <c r="L53" i="46"/>
  <c r="M53" i="46"/>
  <c r="N53" i="46"/>
  <c r="O53" i="46"/>
  <c r="P53" i="46"/>
  <c r="Q53" i="46"/>
  <c r="R53" i="46"/>
  <c r="S53" i="46"/>
  <c r="T53" i="46"/>
  <c r="U53" i="46"/>
  <c r="V53" i="46"/>
  <c r="W53" i="46"/>
  <c r="X53" i="46"/>
  <c r="Y53" i="46"/>
  <c r="Z53" i="46"/>
  <c r="AA53" i="46"/>
  <c r="AB53" i="46"/>
  <c r="AC53" i="46"/>
  <c r="AD53" i="46"/>
  <c r="AE53" i="46"/>
  <c r="AF53" i="46"/>
  <c r="AG53" i="46"/>
  <c r="AH53" i="46"/>
  <c r="AI53" i="46"/>
  <c r="AJ53" i="46"/>
  <c r="AK53" i="46"/>
  <c r="H56" i="46"/>
  <c r="H57" i="46"/>
  <c r="G59" i="46"/>
  <c r="H59" i="46"/>
  <c r="I59" i="46"/>
  <c r="J59" i="46"/>
  <c r="K59" i="46"/>
  <c r="L59" i="46"/>
  <c r="M59" i="46"/>
  <c r="N59" i="46"/>
  <c r="O59" i="46"/>
  <c r="P59" i="46"/>
  <c r="Q59" i="46"/>
  <c r="R59" i="46"/>
  <c r="Q61" i="46"/>
  <c r="Q62" i="46"/>
  <c r="G63" i="46"/>
  <c r="H63" i="46"/>
  <c r="I63" i="46"/>
  <c r="J63" i="46"/>
  <c r="K63" i="46"/>
  <c r="L63" i="46"/>
  <c r="M63" i="46"/>
  <c r="N63" i="46"/>
  <c r="O63" i="46"/>
  <c r="P63" i="46"/>
  <c r="Q63" i="46"/>
  <c r="R63" i="46"/>
  <c r="G65" i="46"/>
  <c r="G66" i="46"/>
  <c r="G67" i="46"/>
  <c r="G68" i="46"/>
  <c r="G69" i="46"/>
  <c r="G71" i="46"/>
  <c r="Q72" i="46"/>
  <c r="H73" i="46"/>
  <c r="I73" i="46"/>
  <c r="J73" i="46"/>
  <c r="K73" i="46"/>
  <c r="L73" i="46"/>
  <c r="M73" i="46"/>
  <c r="N73" i="46"/>
  <c r="O73" i="46"/>
  <c r="P73" i="46"/>
  <c r="Q73" i="46"/>
  <c r="G75" i="46"/>
  <c r="H75" i="46"/>
  <c r="I75" i="46"/>
  <c r="J75" i="46"/>
  <c r="K75" i="46"/>
  <c r="L75" i="46"/>
  <c r="M75" i="46"/>
  <c r="N75" i="46"/>
  <c r="O75" i="46"/>
  <c r="P75" i="46"/>
  <c r="Q75" i="46"/>
  <c r="G77" i="46"/>
  <c r="G78" i="46"/>
  <c r="G79" i="46"/>
  <c r="G80" i="46"/>
  <c r="G81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T84" i="46"/>
  <c r="U84" i="46"/>
  <c r="V84" i="46"/>
  <c r="W84" i="46"/>
  <c r="X84" i="46"/>
  <c r="Y84" i="46"/>
  <c r="Z84" i="46"/>
  <c r="AA84" i="46"/>
  <c r="AB84" i="46"/>
  <c r="AC84" i="46"/>
  <c r="AD84" i="46"/>
  <c r="AE84" i="46"/>
  <c r="AF84" i="46"/>
  <c r="AG84" i="46"/>
  <c r="AH84" i="46"/>
  <c r="AI84" i="46"/>
  <c r="AJ84" i="46"/>
  <c r="AK84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AA85" i="46"/>
  <c r="AB85" i="46"/>
  <c r="AC85" i="46"/>
  <c r="AD85" i="46"/>
  <c r="AE85" i="46"/>
  <c r="AF85" i="46"/>
  <c r="AG85" i="46"/>
  <c r="AH85" i="46"/>
  <c r="AI85" i="46"/>
  <c r="AJ85" i="46"/>
  <c r="AK85" i="46"/>
  <c r="H86" i="46"/>
  <c r="I86" i="46"/>
  <c r="J86" i="46"/>
  <c r="K86" i="46"/>
  <c r="L86" i="46"/>
  <c r="M86" i="46"/>
  <c r="N86" i="46"/>
  <c r="O86" i="46"/>
  <c r="P86" i="46"/>
  <c r="Q86" i="46"/>
  <c r="R86" i="46"/>
  <c r="S86" i="46"/>
  <c r="T86" i="46"/>
  <c r="U86" i="46"/>
  <c r="V86" i="46"/>
  <c r="W86" i="46"/>
  <c r="X86" i="46"/>
  <c r="Y86" i="46"/>
  <c r="Z86" i="46"/>
  <c r="AA86" i="46"/>
  <c r="AB86" i="46"/>
  <c r="AC86" i="46"/>
  <c r="AD86" i="46"/>
  <c r="AE86" i="46"/>
  <c r="AF86" i="46"/>
  <c r="AG86" i="46"/>
  <c r="AH86" i="46"/>
  <c r="AI86" i="46"/>
  <c r="AJ86" i="46"/>
  <c r="AK86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Y88" i="46"/>
  <c r="Z88" i="46"/>
  <c r="AA88" i="46"/>
  <c r="AB88" i="46"/>
  <c r="AC88" i="46"/>
  <c r="AD88" i="46"/>
  <c r="AE88" i="46"/>
  <c r="AF88" i="46"/>
  <c r="AG88" i="46"/>
  <c r="AH88" i="46"/>
  <c r="AI88" i="46"/>
  <c r="AJ88" i="46"/>
  <c r="AK88" i="46"/>
  <c r="E92" i="46"/>
  <c r="L12" i="47"/>
  <c r="L13" i="47"/>
  <c r="L14" i="47"/>
  <c r="L17" i="47"/>
  <c r="L18" i="47"/>
  <c r="L19" i="47"/>
  <c r="G32" i="47"/>
  <c r="G33" i="47"/>
  <c r="G36" i="47"/>
  <c r="G67" i="47"/>
  <c r="G71" i="47"/>
  <c r="G73" i="47"/>
  <c r="G75" i="47"/>
  <c r="G76" i="47"/>
  <c r="G77" i="47"/>
  <c r="G79" i="47"/>
  <c r="Q80" i="47"/>
  <c r="H81" i="47"/>
  <c r="I81" i="47"/>
  <c r="J81" i="47"/>
  <c r="K81" i="47"/>
  <c r="L81" i="47"/>
  <c r="M81" i="47"/>
  <c r="N81" i="47"/>
  <c r="O81" i="47"/>
  <c r="P81" i="47"/>
  <c r="Q81" i="47"/>
  <c r="G83" i="47"/>
  <c r="H83" i="47"/>
  <c r="I83" i="47"/>
  <c r="J83" i="47"/>
  <c r="K83" i="47"/>
  <c r="L83" i="47"/>
  <c r="M83" i="47"/>
  <c r="N83" i="47"/>
  <c r="O83" i="47"/>
  <c r="P83" i="47"/>
  <c r="Q83" i="47"/>
  <c r="G85" i="47"/>
  <c r="G86" i="47"/>
  <c r="G87" i="47"/>
  <c r="G88" i="47"/>
  <c r="G89" i="47"/>
  <c r="E93" i="47"/>
  <c r="R12" i="45"/>
  <c r="R15" i="45"/>
  <c r="Q23" i="45"/>
  <c r="R23" i="45"/>
  <c r="Q24" i="45"/>
  <c r="R24" i="45"/>
  <c r="R25" i="45"/>
  <c r="G27" i="45"/>
  <c r="R28" i="45"/>
  <c r="R30" i="45"/>
  <c r="G42" i="45"/>
  <c r="G62" i="45"/>
  <c r="F64" i="45"/>
  <c r="F66" i="45"/>
  <c r="F67" i="45"/>
  <c r="F68" i="45"/>
  <c r="G70" i="45"/>
  <c r="Q71" i="45"/>
  <c r="H72" i="45"/>
  <c r="I72" i="45"/>
  <c r="J72" i="45"/>
  <c r="K72" i="45"/>
  <c r="L72" i="45"/>
  <c r="M72" i="45"/>
  <c r="N72" i="45"/>
  <c r="O72" i="45"/>
  <c r="P72" i="45"/>
  <c r="Q72" i="45"/>
  <c r="G74" i="45"/>
  <c r="H74" i="45"/>
  <c r="I74" i="45"/>
  <c r="J74" i="45"/>
  <c r="K74" i="45"/>
  <c r="L74" i="45"/>
  <c r="M74" i="45"/>
  <c r="N74" i="45"/>
  <c r="O74" i="45"/>
  <c r="P74" i="45"/>
  <c r="Q74" i="45"/>
  <c r="F76" i="45"/>
  <c r="F77" i="45"/>
  <c r="F78" i="45"/>
  <c r="F79" i="45"/>
  <c r="F80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T83" i="45"/>
  <c r="U83" i="45"/>
  <c r="V83" i="45"/>
  <c r="W83" i="45"/>
  <c r="X83" i="45"/>
  <c r="Y83" i="45"/>
  <c r="Z83" i="45"/>
  <c r="AA83" i="45"/>
  <c r="AB83" i="45"/>
  <c r="AC83" i="45"/>
  <c r="AD83" i="45"/>
  <c r="AE83" i="45"/>
  <c r="AF83" i="45"/>
  <c r="AG83" i="45"/>
  <c r="AH83" i="45"/>
  <c r="AI83" i="45"/>
  <c r="AJ83" i="45"/>
  <c r="AK83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T84" i="45"/>
  <c r="U84" i="45"/>
  <c r="V84" i="45"/>
  <c r="W84" i="45"/>
  <c r="X84" i="45"/>
  <c r="Y84" i="45"/>
  <c r="Z84" i="45"/>
  <c r="AA84" i="45"/>
  <c r="AB84" i="45"/>
  <c r="AC84" i="45"/>
  <c r="AD84" i="45"/>
  <c r="AE84" i="45"/>
  <c r="AF84" i="45"/>
  <c r="AG84" i="45"/>
  <c r="AH84" i="45"/>
  <c r="AI84" i="45"/>
  <c r="AJ84" i="45"/>
  <c r="AK84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T85" i="45"/>
  <c r="U85" i="45"/>
  <c r="V85" i="45"/>
  <c r="W85" i="45"/>
  <c r="X85" i="45"/>
  <c r="Y85" i="45"/>
  <c r="Z85" i="45"/>
  <c r="AA85" i="45"/>
  <c r="AB85" i="45"/>
  <c r="AC85" i="45"/>
  <c r="AD85" i="45"/>
  <c r="AE85" i="45"/>
  <c r="AF85" i="45"/>
  <c r="AG85" i="45"/>
  <c r="AH85" i="45"/>
  <c r="AI85" i="45"/>
  <c r="AJ85" i="45"/>
  <c r="AK85" i="45"/>
  <c r="H86" i="45"/>
  <c r="I86" i="45"/>
  <c r="J86" i="45"/>
  <c r="K86" i="45"/>
  <c r="L86" i="45"/>
  <c r="M86" i="45"/>
  <c r="N86" i="45"/>
  <c r="O86" i="45"/>
  <c r="P86" i="45"/>
  <c r="Q86" i="45"/>
  <c r="H87" i="45"/>
  <c r="I87" i="45"/>
  <c r="J87" i="45"/>
  <c r="K87" i="45"/>
  <c r="L87" i="45"/>
  <c r="M87" i="45"/>
  <c r="N87" i="45"/>
  <c r="O87" i="45"/>
  <c r="P87" i="45"/>
  <c r="Q87" i="45"/>
  <c r="H88" i="45"/>
  <c r="I88" i="45"/>
  <c r="J88" i="45"/>
  <c r="K88" i="45"/>
  <c r="L88" i="45"/>
  <c r="M88" i="45"/>
  <c r="N88" i="45"/>
  <c r="O88" i="45"/>
  <c r="P88" i="45"/>
  <c r="Q88" i="45"/>
  <c r="R88" i="45"/>
  <c r="S88" i="45"/>
  <c r="T88" i="45"/>
  <c r="U88" i="45"/>
  <c r="V88" i="45"/>
  <c r="W88" i="45"/>
  <c r="X88" i="45"/>
  <c r="Y88" i="45"/>
  <c r="Z88" i="45"/>
  <c r="AA88" i="45"/>
  <c r="AB88" i="45"/>
  <c r="AC88" i="45"/>
  <c r="AD88" i="45"/>
  <c r="AE88" i="45"/>
  <c r="AF88" i="45"/>
  <c r="AG88" i="45"/>
  <c r="AH88" i="45"/>
  <c r="AI88" i="45"/>
  <c r="AJ88" i="45"/>
  <c r="AK88" i="45"/>
  <c r="R12" i="48"/>
  <c r="R13" i="48"/>
  <c r="R14" i="48"/>
  <c r="R17" i="48"/>
  <c r="R18" i="48"/>
  <c r="R19" i="48"/>
  <c r="G34" i="48"/>
  <c r="G35" i="48"/>
  <c r="G40" i="48"/>
  <c r="G61" i="48"/>
  <c r="G65" i="48"/>
  <c r="G67" i="48"/>
  <c r="G69" i="48"/>
  <c r="G70" i="48"/>
  <c r="G71" i="48"/>
  <c r="G73" i="48"/>
  <c r="Q74" i="48"/>
  <c r="H75" i="48"/>
  <c r="I75" i="48"/>
  <c r="J75" i="48"/>
  <c r="K75" i="48"/>
  <c r="L75" i="48"/>
  <c r="M75" i="48"/>
  <c r="N75" i="48"/>
  <c r="O75" i="48"/>
  <c r="P75" i="48"/>
  <c r="Q75" i="48"/>
  <c r="G77" i="48"/>
  <c r="H77" i="48"/>
  <c r="I77" i="48"/>
  <c r="J77" i="48"/>
  <c r="K77" i="48"/>
  <c r="L77" i="48"/>
  <c r="M77" i="48"/>
  <c r="N77" i="48"/>
  <c r="O77" i="48"/>
  <c r="P77" i="48"/>
  <c r="Q77" i="48"/>
  <c r="G79" i="48"/>
  <c r="G80" i="48"/>
  <c r="G81" i="48"/>
  <c r="G82" i="48"/>
  <c r="G83" i="48"/>
  <c r="E94" i="48"/>
  <c r="D19" i="44"/>
  <c r="F19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U19" i="44"/>
  <c r="V19" i="44"/>
  <c r="W19" i="44"/>
  <c r="X19" i="44"/>
  <c r="Y19" i="44"/>
  <c r="Z19" i="44"/>
  <c r="AA19" i="44"/>
  <c r="AB19" i="44"/>
  <c r="AC19" i="44"/>
  <c r="AD19" i="44"/>
  <c r="AE19" i="44"/>
  <c r="AF19" i="44"/>
  <c r="AG19" i="44"/>
  <c r="AH19" i="44"/>
  <c r="AI19" i="44"/>
  <c r="AJ19" i="44"/>
  <c r="D20" i="44"/>
  <c r="F20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U20" i="44"/>
  <c r="V20" i="44"/>
  <c r="W20" i="44"/>
  <c r="X20" i="44"/>
  <c r="Y20" i="44"/>
  <c r="Z20" i="44"/>
  <c r="AA20" i="44"/>
  <c r="AB20" i="44"/>
  <c r="AC20" i="44"/>
  <c r="AD20" i="44"/>
  <c r="AE20" i="44"/>
  <c r="AF20" i="44"/>
  <c r="AG20" i="44"/>
  <c r="AH20" i="44"/>
  <c r="AI20" i="44"/>
  <c r="AJ20" i="44"/>
  <c r="D22" i="44"/>
  <c r="F22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U22" i="44"/>
  <c r="V22" i="44"/>
  <c r="W22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AJ22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AE38" i="44"/>
  <c r="AF38" i="44"/>
  <c r="AG38" i="44"/>
  <c r="AH38" i="44"/>
  <c r="AI38" i="44"/>
  <c r="AJ38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AA40" i="44"/>
  <c r="AB40" i="44"/>
  <c r="AC40" i="44"/>
  <c r="AD40" i="44"/>
  <c r="AE40" i="44"/>
  <c r="AF40" i="44"/>
  <c r="AG40" i="44"/>
  <c r="AH40" i="44"/>
  <c r="AI40" i="44"/>
  <c r="AJ40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AE42" i="44"/>
  <c r="AF42" i="44"/>
  <c r="AG42" i="44"/>
  <c r="AH42" i="44"/>
  <c r="AI42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AA43" i="44"/>
  <c r="AB43" i="44"/>
  <c r="AC43" i="44"/>
  <c r="AD43" i="44"/>
  <c r="AE43" i="44"/>
  <c r="AF43" i="44"/>
  <c r="AG43" i="44"/>
  <c r="AH43" i="44"/>
  <c r="AI43" i="44"/>
  <c r="Q44" i="44"/>
  <c r="D46" i="44"/>
  <c r="F46" i="44"/>
  <c r="G46" i="44"/>
  <c r="H46" i="44"/>
  <c r="I46" i="44"/>
  <c r="J46" i="44"/>
  <c r="K46" i="44"/>
  <c r="L46" i="44"/>
  <c r="M46" i="44"/>
  <c r="N46" i="44"/>
  <c r="O46" i="44"/>
  <c r="P46" i="44"/>
  <c r="Q46" i="44"/>
  <c r="D47" i="44"/>
  <c r="D48" i="44"/>
  <c r="F51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D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AE52" i="44"/>
  <c r="AF52" i="44"/>
  <c r="AG52" i="44"/>
  <c r="AH52" i="44"/>
  <c r="AI52" i="44"/>
  <c r="AJ52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AD53" i="44"/>
  <c r="AE53" i="44"/>
  <c r="AF53" i="44"/>
  <c r="AG53" i="44"/>
  <c r="AH53" i="44"/>
  <c r="AI53" i="44"/>
  <c r="AJ53" i="44"/>
  <c r="F55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AD55" i="44"/>
  <c r="AE55" i="44"/>
  <c r="AF55" i="44"/>
  <c r="AG55" i="44"/>
  <c r="AH55" i="44"/>
  <c r="AI55" i="44"/>
  <c r="AJ55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AD58" i="44"/>
  <c r="AE58" i="44"/>
  <c r="AF58" i="44"/>
  <c r="AG58" i="44"/>
  <c r="AH58" i="44"/>
  <c r="AI58" i="44"/>
  <c r="AJ58" i="44"/>
  <c r="D59" i="44"/>
  <c r="K59" i="44"/>
  <c r="D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D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Q62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AE65" i="44"/>
  <c r="AF65" i="44"/>
  <c r="AG65" i="44"/>
  <c r="AH65" i="44"/>
  <c r="AI65" i="44"/>
  <c r="AJ65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Q69" i="44"/>
  <c r="Q70" i="44"/>
  <c r="R71" i="44"/>
  <c r="S71" i="44"/>
  <c r="T71" i="44"/>
  <c r="U71" i="44"/>
  <c r="V71" i="44"/>
  <c r="W71" i="44"/>
  <c r="X71" i="44"/>
  <c r="Y71" i="44"/>
  <c r="Z71" i="44"/>
  <c r="AA71" i="44"/>
  <c r="AB71" i="44"/>
  <c r="AC71" i="44"/>
  <c r="AD71" i="44"/>
  <c r="AE71" i="44"/>
  <c r="AF71" i="44"/>
  <c r="AG71" i="44"/>
  <c r="AH71" i="44"/>
  <c r="AI71" i="44"/>
  <c r="AJ71" i="44"/>
  <c r="AA72" i="44"/>
  <c r="Q73" i="44"/>
  <c r="R73" i="44"/>
  <c r="S73" i="44"/>
  <c r="T73" i="44"/>
  <c r="U73" i="44"/>
  <c r="V73" i="44"/>
  <c r="W73" i="44"/>
  <c r="X73" i="44"/>
  <c r="Y73" i="44"/>
  <c r="Z73" i="44"/>
  <c r="AA73" i="44"/>
  <c r="AB73" i="44"/>
  <c r="AC73" i="44"/>
  <c r="AD73" i="44"/>
  <c r="AE73" i="44"/>
  <c r="AF73" i="44"/>
  <c r="AG73" i="44"/>
  <c r="AH73" i="44"/>
  <c r="AI73" i="44"/>
  <c r="AJ73" i="44"/>
  <c r="D75" i="44"/>
  <c r="F75" i="44"/>
  <c r="G75" i="44"/>
  <c r="H75" i="44"/>
  <c r="I75" i="44"/>
  <c r="J75" i="44"/>
  <c r="K75" i="44"/>
  <c r="L75" i="44"/>
  <c r="M75" i="44"/>
  <c r="N75" i="44"/>
  <c r="O75" i="44"/>
  <c r="P75" i="44"/>
  <c r="Q75" i="44"/>
  <c r="R75" i="44"/>
  <c r="S75" i="44"/>
  <c r="T75" i="44"/>
  <c r="U75" i="44"/>
  <c r="V75" i="44"/>
  <c r="W75" i="44"/>
  <c r="X75" i="44"/>
  <c r="Y75" i="44"/>
  <c r="Z75" i="44"/>
  <c r="AA75" i="44"/>
  <c r="D76" i="44"/>
  <c r="D77" i="44"/>
  <c r="H14" i="43"/>
  <c r="G15" i="43"/>
  <c r="H15" i="43"/>
  <c r="I15" i="43"/>
  <c r="G16" i="43"/>
  <c r="H16" i="43"/>
  <c r="I16" i="43"/>
  <c r="H17" i="43"/>
  <c r="G18" i="43"/>
  <c r="H18" i="43"/>
  <c r="I18" i="43"/>
  <c r="G19" i="43"/>
  <c r="H19" i="43"/>
  <c r="I19" i="43"/>
  <c r="G20" i="43"/>
  <c r="H20" i="43"/>
  <c r="G23" i="43"/>
  <c r="H23" i="43"/>
  <c r="G24" i="43"/>
  <c r="H24" i="43"/>
  <c r="G25" i="43"/>
  <c r="H25" i="43"/>
  <c r="H26" i="43"/>
  <c r="G27" i="43"/>
  <c r="H27" i="43"/>
  <c r="G28" i="43"/>
  <c r="H28" i="43"/>
  <c r="K28" i="43"/>
  <c r="I35" i="43"/>
  <c r="I46" i="43"/>
  <c r="I47" i="43"/>
  <c r="I48" i="43"/>
  <c r="H20" i="51"/>
  <c r="X20" i="51"/>
  <c r="E26" i="51"/>
  <c r="G26" i="51"/>
  <c r="I26" i="51"/>
  <c r="L26" i="51"/>
  <c r="M26" i="51"/>
  <c r="N26" i="51"/>
  <c r="O26" i="51"/>
  <c r="U26" i="51"/>
  <c r="W26" i="51"/>
  <c r="Y26" i="51"/>
  <c r="AB26" i="51"/>
  <c r="AC26" i="51"/>
  <c r="AD26" i="51"/>
  <c r="AE26" i="51"/>
  <c r="E27" i="51"/>
  <c r="G27" i="51"/>
  <c r="I27" i="51"/>
  <c r="L27" i="51"/>
  <c r="M27" i="51"/>
  <c r="N27" i="51"/>
  <c r="O27" i="51"/>
  <c r="U27" i="51"/>
  <c r="W27" i="51"/>
  <c r="Y27" i="51"/>
  <c r="AB27" i="51"/>
  <c r="AC27" i="51"/>
  <c r="AD27" i="51"/>
  <c r="AE27" i="51"/>
  <c r="E28" i="51"/>
  <c r="G28" i="51"/>
  <c r="I28" i="51"/>
  <c r="L28" i="51"/>
  <c r="M28" i="51"/>
  <c r="N28" i="51"/>
  <c r="O28" i="51"/>
  <c r="U28" i="51"/>
  <c r="W28" i="51"/>
  <c r="Y28" i="51"/>
  <c r="AB28" i="51"/>
  <c r="AC28" i="51"/>
  <c r="AD28" i="51"/>
  <c r="AE28" i="51"/>
  <c r="E29" i="51"/>
  <c r="G29" i="51"/>
  <c r="I29" i="51"/>
  <c r="L29" i="51"/>
  <c r="M29" i="51"/>
  <c r="N29" i="51"/>
  <c r="O29" i="51"/>
  <c r="U29" i="51"/>
  <c r="W29" i="51"/>
  <c r="Y29" i="51"/>
  <c r="AB29" i="51"/>
  <c r="AC29" i="51"/>
  <c r="AD29" i="51"/>
  <c r="AE29" i="51"/>
  <c r="E30" i="51"/>
  <c r="G30" i="51"/>
  <c r="I30" i="51"/>
  <c r="L30" i="51"/>
  <c r="M30" i="51"/>
  <c r="N30" i="51"/>
  <c r="O30" i="51"/>
  <c r="U30" i="51"/>
  <c r="W30" i="51"/>
  <c r="Y30" i="51"/>
  <c r="AB30" i="51"/>
  <c r="AC30" i="51"/>
  <c r="AD30" i="51"/>
  <c r="AE30" i="51"/>
  <c r="E31" i="51"/>
  <c r="G31" i="51"/>
  <c r="I31" i="51"/>
  <c r="L31" i="51"/>
  <c r="M31" i="51"/>
  <c r="N31" i="51"/>
  <c r="O31" i="51"/>
  <c r="U31" i="51"/>
  <c r="W31" i="51"/>
  <c r="Y31" i="51"/>
  <c r="AB31" i="51"/>
  <c r="AC31" i="51"/>
  <c r="AD31" i="51"/>
  <c r="AE31" i="51"/>
  <c r="E32" i="51"/>
  <c r="G32" i="51"/>
  <c r="I32" i="51"/>
  <c r="L32" i="51"/>
  <c r="M32" i="51"/>
  <c r="N32" i="51"/>
  <c r="O32" i="51"/>
  <c r="U32" i="51"/>
  <c r="W32" i="51"/>
  <c r="Y32" i="51"/>
  <c r="AB32" i="51"/>
  <c r="AC32" i="51"/>
  <c r="AD32" i="51"/>
  <c r="AE32" i="51"/>
  <c r="E33" i="51"/>
  <c r="G33" i="51"/>
  <c r="I33" i="51"/>
  <c r="L33" i="51"/>
  <c r="M33" i="51"/>
  <c r="N33" i="51"/>
  <c r="O33" i="51"/>
  <c r="U33" i="51"/>
  <c r="W33" i="51"/>
  <c r="Y33" i="51"/>
  <c r="AB33" i="51"/>
  <c r="AC33" i="51"/>
  <c r="AD33" i="51"/>
  <c r="AE33" i="51"/>
  <c r="E34" i="51"/>
  <c r="G34" i="51"/>
  <c r="I34" i="51"/>
  <c r="L34" i="51"/>
  <c r="M34" i="51"/>
  <c r="N34" i="51"/>
  <c r="O34" i="51"/>
  <c r="U34" i="51"/>
  <c r="W34" i="51"/>
  <c r="Y34" i="51"/>
  <c r="AB34" i="51"/>
  <c r="AC34" i="51"/>
  <c r="AD34" i="51"/>
  <c r="AE34" i="51"/>
  <c r="E35" i="51"/>
  <c r="G35" i="51"/>
  <c r="I35" i="51"/>
  <c r="L35" i="51"/>
  <c r="M35" i="51"/>
  <c r="N35" i="51"/>
  <c r="O35" i="51"/>
  <c r="U35" i="51"/>
  <c r="W35" i="51"/>
  <c r="Y35" i="51"/>
  <c r="AB35" i="51"/>
  <c r="AC35" i="51"/>
  <c r="AD35" i="51"/>
  <c r="AE35" i="51"/>
  <c r="E36" i="51"/>
  <c r="G36" i="51"/>
  <c r="I36" i="51"/>
  <c r="L36" i="51"/>
  <c r="M36" i="51"/>
  <c r="N36" i="51"/>
  <c r="O36" i="51"/>
  <c r="U36" i="51"/>
  <c r="W36" i="51"/>
  <c r="Y36" i="51"/>
  <c r="AB36" i="51"/>
  <c r="AC36" i="51"/>
  <c r="AD36" i="51"/>
  <c r="AE36" i="51"/>
  <c r="E37" i="51"/>
  <c r="G37" i="51"/>
  <c r="I37" i="51"/>
  <c r="L37" i="51"/>
  <c r="M37" i="51"/>
  <c r="N37" i="51"/>
  <c r="O37" i="51"/>
  <c r="U37" i="51"/>
  <c r="W37" i="51"/>
  <c r="Y37" i="51"/>
  <c r="AB37" i="51"/>
  <c r="AC37" i="51"/>
  <c r="AD37" i="51"/>
  <c r="AE37" i="51"/>
  <c r="E38" i="51"/>
  <c r="G38" i="51"/>
  <c r="I38" i="51"/>
  <c r="L38" i="51"/>
  <c r="M38" i="51"/>
  <c r="N38" i="51"/>
  <c r="O38" i="51"/>
  <c r="U38" i="51"/>
  <c r="W38" i="51"/>
  <c r="Y38" i="51"/>
  <c r="AB38" i="51"/>
  <c r="AC38" i="51"/>
  <c r="AD38" i="51"/>
  <c r="AE38" i="51"/>
  <c r="E39" i="51"/>
  <c r="G39" i="51"/>
  <c r="I39" i="51"/>
  <c r="L39" i="51"/>
  <c r="M39" i="51"/>
  <c r="N39" i="51"/>
  <c r="O39" i="51"/>
  <c r="U39" i="51"/>
  <c r="W39" i="51"/>
  <c r="Y39" i="51"/>
  <c r="AB39" i="51"/>
  <c r="AC39" i="51"/>
  <c r="AD39" i="51"/>
  <c r="AE39" i="51"/>
  <c r="E40" i="51"/>
  <c r="G40" i="51"/>
  <c r="I40" i="51"/>
  <c r="L40" i="51"/>
  <c r="M40" i="51"/>
  <c r="N40" i="51"/>
  <c r="O40" i="51"/>
  <c r="U40" i="51"/>
  <c r="W40" i="51"/>
  <c r="Y40" i="51"/>
  <c r="AB40" i="51"/>
  <c r="AC40" i="51"/>
  <c r="AD40" i="51"/>
  <c r="AE40" i="51"/>
  <c r="E41" i="51"/>
  <c r="G41" i="51"/>
  <c r="I41" i="51"/>
  <c r="L41" i="51"/>
  <c r="M41" i="51"/>
  <c r="N41" i="51"/>
  <c r="O41" i="51"/>
  <c r="U41" i="51"/>
  <c r="W41" i="51"/>
  <c r="Y41" i="51"/>
  <c r="AB41" i="51"/>
  <c r="AC41" i="51"/>
  <c r="AD41" i="51"/>
  <c r="AE41" i="51"/>
  <c r="E42" i="51"/>
  <c r="G42" i="51"/>
  <c r="I42" i="51"/>
  <c r="L42" i="51"/>
  <c r="M42" i="51"/>
  <c r="N42" i="51"/>
  <c r="O42" i="51"/>
  <c r="U42" i="51"/>
  <c r="W42" i="51"/>
  <c r="Y42" i="51"/>
  <c r="AB42" i="51"/>
  <c r="AC42" i="51"/>
  <c r="AD42" i="51"/>
  <c r="AE42" i="51"/>
  <c r="E43" i="51"/>
  <c r="G43" i="51"/>
  <c r="I43" i="51"/>
  <c r="L43" i="51"/>
  <c r="M43" i="51"/>
  <c r="N43" i="51"/>
  <c r="O43" i="51"/>
  <c r="U43" i="51"/>
  <c r="W43" i="51"/>
  <c r="Y43" i="51"/>
  <c r="AB43" i="51"/>
  <c r="AC43" i="51"/>
  <c r="AD43" i="51"/>
  <c r="AE43" i="51"/>
  <c r="E44" i="51"/>
  <c r="G44" i="51"/>
  <c r="I44" i="51"/>
  <c r="L44" i="51"/>
  <c r="M44" i="51"/>
  <c r="N44" i="51"/>
  <c r="O44" i="51"/>
  <c r="U44" i="51"/>
  <c r="W44" i="51"/>
  <c r="Y44" i="51"/>
  <c r="AB44" i="51"/>
  <c r="AC44" i="51"/>
  <c r="AD44" i="51"/>
  <c r="AE44" i="51"/>
  <c r="E45" i="51"/>
  <c r="G45" i="51"/>
  <c r="I45" i="51"/>
  <c r="L45" i="51"/>
  <c r="M45" i="51"/>
  <c r="N45" i="51"/>
  <c r="O45" i="51"/>
  <c r="U45" i="51"/>
  <c r="W45" i="51"/>
  <c r="Y45" i="51"/>
  <c r="AB45" i="51"/>
  <c r="AC45" i="51"/>
  <c r="AD45" i="51"/>
  <c r="AE45" i="51"/>
  <c r="E46" i="51"/>
  <c r="G46" i="51"/>
  <c r="I46" i="51"/>
  <c r="L46" i="51"/>
  <c r="M46" i="51"/>
  <c r="N46" i="51"/>
  <c r="O46" i="51"/>
  <c r="U46" i="51"/>
  <c r="W46" i="51"/>
  <c r="Y46" i="51"/>
  <c r="AB46" i="51"/>
  <c r="AC46" i="51"/>
  <c r="AD46" i="51"/>
  <c r="AE46" i="51"/>
  <c r="E47" i="51"/>
  <c r="G47" i="51"/>
  <c r="I47" i="51"/>
  <c r="L47" i="51"/>
  <c r="M47" i="51"/>
  <c r="N47" i="51"/>
  <c r="O47" i="51"/>
  <c r="U47" i="51"/>
  <c r="W47" i="51"/>
  <c r="Y47" i="51"/>
  <c r="AB47" i="51"/>
  <c r="AC47" i="51"/>
  <c r="AD47" i="51"/>
  <c r="AE47" i="51"/>
  <c r="E48" i="51"/>
  <c r="G48" i="51"/>
  <c r="I48" i="51"/>
  <c r="L48" i="51"/>
  <c r="M48" i="51"/>
  <c r="N48" i="51"/>
  <c r="O48" i="51"/>
  <c r="U48" i="51"/>
  <c r="W48" i="51"/>
  <c r="Y48" i="51"/>
  <c r="AB48" i="51"/>
  <c r="AC48" i="51"/>
  <c r="AD48" i="51"/>
  <c r="AE48" i="51"/>
  <c r="E49" i="51"/>
  <c r="G49" i="51"/>
  <c r="I49" i="51"/>
  <c r="L49" i="51"/>
  <c r="M49" i="51"/>
  <c r="N49" i="51"/>
  <c r="O49" i="51"/>
  <c r="U49" i="51"/>
  <c r="W49" i="51"/>
  <c r="Y49" i="51"/>
  <c r="AB49" i="51"/>
  <c r="AC49" i="51"/>
  <c r="AD49" i="51"/>
  <c r="AE49" i="51"/>
  <c r="E50" i="51"/>
  <c r="G50" i="51"/>
  <c r="I50" i="51"/>
  <c r="L50" i="51"/>
  <c r="M50" i="51"/>
  <c r="N50" i="51"/>
  <c r="O50" i="51"/>
  <c r="U50" i="51"/>
  <c r="W50" i="51"/>
  <c r="Y50" i="51"/>
  <c r="AB50" i="51"/>
  <c r="AC50" i="51"/>
  <c r="AD50" i="51"/>
  <c r="AE50" i="51"/>
  <c r="E51" i="51"/>
  <c r="G51" i="51"/>
  <c r="I51" i="51"/>
  <c r="L51" i="51"/>
  <c r="M51" i="51"/>
  <c r="N51" i="51"/>
  <c r="O51" i="51"/>
  <c r="U51" i="51"/>
  <c r="W51" i="51"/>
  <c r="Y51" i="51"/>
  <c r="AB51" i="51"/>
  <c r="AC51" i="51"/>
  <c r="AD51" i="51"/>
  <c r="AE51" i="51"/>
  <c r="E52" i="51"/>
  <c r="G52" i="51"/>
  <c r="I52" i="51"/>
  <c r="L52" i="51"/>
  <c r="M52" i="51"/>
  <c r="N52" i="51"/>
  <c r="O52" i="51"/>
  <c r="U52" i="51"/>
  <c r="W52" i="51"/>
  <c r="Y52" i="51"/>
  <c r="AB52" i="51"/>
  <c r="AC52" i="51"/>
  <c r="AD52" i="51"/>
  <c r="AE52" i="51"/>
  <c r="E53" i="51"/>
  <c r="G53" i="51"/>
  <c r="I53" i="51"/>
  <c r="L53" i="51"/>
  <c r="M53" i="51"/>
  <c r="N53" i="51"/>
  <c r="O53" i="51"/>
  <c r="U53" i="51"/>
  <c r="W53" i="51"/>
  <c r="Y53" i="51"/>
  <c r="AB53" i="51"/>
  <c r="AC53" i="51"/>
  <c r="AD53" i="51"/>
  <c r="AE53" i="51"/>
  <c r="N55" i="51"/>
  <c r="AD55" i="51"/>
  <c r="N56" i="51"/>
  <c r="AD56" i="51"/>
</calcChain>
</file>

<file path=xl/sharedStrings.xml><?xml version="1.0" encoding="utf-8"?>
<sst xmlns="http://schemas.openxmlformats.org/spreadsheetml/2006/main" count="3446" uniqueCount="869">
  <si>
    <t xml:space="preserve">Net Operating Income </t>
  </si>
  <si>
    <t>Total Net Operating Income</t>
  </si>
  <si>
    <t>Development Costs</t>
  </si>
  <si>
    <t>Total Development Costs</t>
  </si>
  <si>
    <t>Annual Cash Flow</t>
  </si>
  <si>
    <t>Net Operating Income</t>
  </si>
  <si>
    <t>Net Cash Flow</t>
  </si>
  <si>
    <t>Project Buildout by Development Units</t>
  </si>
  <si>
    <t>Inflation Factor</t>
  </si>
  <si>
    <t>Infrastructure Costs</t>
  </si>
  <si>
    <t>Total Revenues</t>
  </si>
  <si>
    <t>Expenses</t>
  </si>
  <si>
    <t>Net Present Value</t>
  </si>
  <si>
    <t>Total Costs of Sale</t>
  </si>
  <si>
    <t>Total Buildout</t>
  </si>
  <si>
    <t>(s.f.)</t>
  </si>
  <si>
    <t>Total</t>
  </si>
  <si>
    <t>($ per space)</t>
  </si>
  <si>
    <t>Total Infrastructure Costs</t>
  </si>
  <si>
    <t>Percent of Total</t>
  </si>
  <si>
    <t>Phase I</t>
  </si>
  <si>
    <t>Average Unit Size</t>
  </si>
  <si>
    <t>1. Summary Pro Forma</t>
  </si>
  <si>
    <t>2. Multiyear Development Program</t>
  </si>
  <si>
    <t>Office/Commercial</t>
  </si>
  <si>
    <t>Retail</t>
  </si>
  <si>
    <t>Hotel</t>
  </si>
  <si>
    <t>Structured Parking</t>
  </si>
  <si>
    <t>Equity</t>
  </si>
  <si>
    <t>Loan to Value Ratio (LVR)</t>
  </si>
  <si>
    <t>3. Unit Development and Infrastructure Costs</t>
  </si>
  <si>
    <t>4. Equity and Financing Sources</t>
  </si>
  <si>
    <t>Amount</t>
  </si>
  <si>
    <t>Equity Sources (total)</t>
  </si>
  <si>
    <t>Financing Sources (total)</t>
  </si>
  <si>
    <t>Leveraged IRR Before Taxes</t>
  </si>
  <si>
    <t>Utilities</t>
  </si>
  <si>
    <t>Public</t>
  </si>
  <si>
    <t>Total Infrastructure</t>
  </si>
  <si>
    <t>Private</t>
  </si>
  <si>
    <t xml:space="preserve">Total Asset Value </t>
  </si>
  <si>
    <t>Unleveraged IRR Before Taxes</t>
  </si>
  <si>
    <t>Current Site Value (start of Year 0)</t>
  </si>
  <si>
    <t>Projected Site Value (end of Year 10)</t>
  </si>
  <si>
    <t>Retail (ALL)</t>
  </si>
  <si>
    <t>Market-rate Retail</t>
  </si>
  <si>
    <t>Land Acquisition</t>
  </si>
  <si>
    <t>Income from Sales Proceeds</t>
  </si>
  <si>
    <t>Total Income</t>
  </si>
  <si>
    <t>Demolition</t>
  </si>
  <si>
    <t>Development Fees</t>
  </si>
  <si>
    <t>Leveraged Net Cash Flow</t>
  </si>
  <si>
    <t>Acquisition Taxes and Fees</t>
  </si>
  <si>
    <t>Wynwood or Edgewater</t>
  </si>
  <si>
    <t># on Map</t>
  </si>
  <si>
    <t>Required</t>
  </si>
  <si>
    <t>Folio</t>
  </si>
  <si>
    <t>Sub-Division</t>
  </si>
  <si>
    <t>Property Address</t>
  </si>
  <si>
    <t>Owner Name 1</t>
  </si>
  <si>
    <t>Owner Name 2</t>
  </si>
  <si>
    <t>PA Primary Zone</t>
  </si>
  <si>
    <t>Primary Land Use</t>
  </si>
  <si>
    <t>Lot Size #</t>
  </si>
  <si>
    <t>Lot Size</t>
  </si>
  <si>
    <t xml:space="preserve">2019 Land Value	</t>
  </si>
  <si>
    <t>2019 Building Value</t>
  </si>
  <si>
    <t>Extra Feature Value</t>
  </si>
  <si>
    <t>2019 Market Value</t>
  </si>
  <si>
    <t>Muni Zone</t>
  </si>
  <si>
    <t xml:space="preserve">
Community Development District</t>
  </si>
  <si>
    <t>Community Redevelopment Area</t>
  </si>
  <si>
    <t>Empowerment Zone</t>
  </si>
  <si>
    <t>Enterprise Zone</t>
  </si>
  <si>
    <t>Urban Development</t>
  </si>
  <si>
    <t>Zoning Code</t>
  </si>
  <si>
    <t>Existing Land Use</t>
  </si>
  <si>
    <t>Edgewater</t>
  </si>
  <si>
    <t>No</t>
  </si>
  <si>
    <t>01-3125-004-0300</t>
  </si>
  <si>
    <t>WESTERN BLVD TR</t>
  </si>
  <si>
    <t>154 NE 29 ST; 160 NE 29 ST; 166 NE 29 ST; 172 NE 29 ST; 178 NE 29 ST; 2816 NE 2 AVE; 2830 NE 2 AVE; 180 NE 29 ST</t>
  </si>
  <si>
    <t>MIAMI MIDTOWN 29 LLC C/O THE MORGAN GROUP INC</t>
  </si>
  <si>
    <t>6110 COMM/RESIDENTIAL-DESIGN D</t>
  </si>
  <si>
    <t>0303 MULTIFAMILY 10 UNITS PLUS : MULTIFAMILY 3 OR MORE UNITS</t>
  </si>
  <si>
    <t>74,326 Sq.Ft</t>
  </si>
  <si>
    <t>T6-8-O; T6-12-O</t>
  </si>
  <si>
    <t>NONE</t>
  </si>
  <si>
    <t>NORTH CENTRAL</t>
  </si>
  <si>
    <t>CENTRAL</t>
  </si>
  <si>
    <t>INSIDE URBAN DEVELOPMENT BOUNDARY</t>
  </si>
  <si>
    <t>T6-12-O -</t>
  </si>
  <si>
    <t>35 - MULTI-FAMILY, HIGH DENSITY (OVER 25 DU/GROSS ACRE)</t>
  </si>
  <si>
    <t>01-3125-004-0021</t>
  </si>
  <si>
    <t>186 NE 29 ST</t>
  </si>
  <si>
    <t>LUCIA PLA</t>
  </si>
  <si>
    <t>1209 MIXED USE-STORE/RESIDENTIAL : MIXED USE - RESIDENTIAL</t>
  </si>
  <si>
    <t>5,600 Sq.Ft</t>
  </si>
  <si>
    <t>T6-12-O</t>
  </si>
  <si>
    <t>110 - SALES AND SERVICES (WHOLESALE FACILITIES, SPOT COMMERCIAL, STRIP COMMERCIAL, NEIGHBORHOOD SHOPPING CENTERS/PLAZAS). EXCLUDES OFFICE FACILITIES</t>
  </si>
  <si>
    <t>01-3125-005-0010</t>
  </si>
  <si>
    <t>FLAGLER PARK</t>
  </si>
  <si>
    <t>2800 NE 2 AVE</t>
  </si>
  <si>
    <t>JJK 2800 NE 2ND LLC</t>
  </si>
  <si>
    <t>KB 2800 NE 2ND LLC</t>
  </si>
  <si>
    <t>1111 STORE : RETAIL OUTLET</t>
  </si>
  <si>
    <t>10,500 Sq.Ft</t>
  </si>
  <si>
    <t>Yes</t>
  </si>
  <si>
    <t>01-3125-006-0080</t>
  </si>
  <si>
    <t>HALCYON HGTS</t>
  </si>
  <si>
    <t>127 NE 27 ST</t>
  </si>
  <si>
    <t>MILLER MACHINERY &amp; SUPPLY CO</t>
  </si>
  <si>
    <t>6100 COMMERCIAL - NEIGHBORHOOD</t>
  </si>
  <si>
    <t>4837 WAREHOUSE TERMINAL OR STG : WAREHOUSE OR STORAGE</t>
  </si>
  <si>
    <t>36,753 Sq.Ft</t>
  </si>
  <si>
    <t>T6-8-O</t>
  </si>
  <si>
    <t>T6-8-O -</t>
  </si>
  <si>
    <t>320 - INDUSTRIAL INTENSIVE, HEAVY-LIGHT MANUFACTURING, AND WAREHOUSING-STORAGE TYPE OF USE</t>
  </si>
  <si>
    <t>01-3125-005-0150</t>
  </si>
  <si>
    <t>144 NE 28 ST</t>
  </si>
  <si>
    <t>0081 VACANT RESIDENTIAL : VACANT LAND</t>
  </si>
  <si>
    <t>2,188 Sq.Ft</t>
  </si>
  <si>
    <t>804 - VACANT, NON-PROTECTED, PRIVATELY-OWNED</t>
  </si>
  <si>
    <t>01-3125-005-0130</t>
  </si>
  <si>
    <t>146 NE 28 ST</t>
  </si>
  <si>
    <t>2,360 Sq.Ft</t>
  </si>
  <si>
    <t>01-3125-005-0090</t>
  </si>
  <si>
    <t>148 NE 28 ST</t>
  </si>
  <si>
    <t>RAMMOS HOLDCO INC</t>
  </si>
  <si>
    <t>4,688 Sq.Ft</t>
  </si>
  <si>
    <t>01-3125-005-0070</t>
  </si>
  <si>
    <t>156 NE 28 ST</t>
  </si>
  <si>
    <t>156 NE 28 ST LLC</t>
  </si>
  <si>
    <t>1081 VACANT LAND - COMMERCIAL : VACANT LAND</t>
  </si>
  <si>
    <t>1,875 Sq.Ft</t>
  </si>
  <si>
    <t>11 - SINGLE-FAMILY, HIGH DENSITY (OVER 5 DU/GROSS ACRE, OTHER THAN TOWNHOUSES, DUPLEXES AND MOBILE HOMES)</t>
  </si>
  <si>
    <t>01-3125-005-0050</t>
  </si>
  <si>
    <t>160 NE 28 ST</t>
  </si>
  <si>
    <t>MAGGIE SHEA</t>
  </si>
  <si>
    <t>0101 RESIDENTIAL - SINGLE FAMILY : 1 UNIT</t>
  </si>
  <si>
    <t>1,750 Sq.Ft</t>
  </si>
  <si>
    <t>01-3125-005-0030</t>
  </si>
  <si>
    <t>166 NE 28 ST</t>
  </si>
  <si>
    <t>27EDGEWATER LLC</t>
  </si>
  <si>
    <t>3,500 Sq.Ft</t>
  </si>
  <si>
    <t>01-3125-005-0020</t>
  </si>
  <si>
    <t>2728 NE 2 AVE</t>
  </si>
  <si>
    <t>510 - MUNICIPAL OPERATED PARKS</t>
  </si>
  <si>
    <t>01-3125-006-0060</t>
  </si>
  <si>
    <t>151 NE 27 ST</t>
  </si>
  <si>
    <t>14,000 Sq.Ft</t>
  </si>
  <si>
    <t>01-3125-006-0050</t>
  </si>
  <si>
    <t>159 NE 27 ST</t>
  </si>
  <si>
    <t>7,000 Sq.Ft</t>
  </si>
  <si>
    <t>01-3125-006-0040</t>
  </si>
  <si>
    <t>161 NE 27 ST</t>
  </si>
  <si>
    <t>01-3125-006-0030</t>
  </si>
  <si>
    <t>169 NE 27 ST</t>
  </si>
  <si>
    <t>1066 VACANT LAND - COMMERCIAL : EXTRA FEA OTHER THAN PARKING</t>
  </si>
  <si>
    <t>17,550 Sq.Ft</t>
  </si>
  <si>
    <t>01-3125-007-0100</t>
  </si>
  <si>
    <t>POMELO PARK</t>
  </si>
  <si>
    <t>125 NE 26 ST</t>
  </si>
  <si>
    <t>52,250 Sq.Ft</t>
  </si>
  <si>
    <t>01-3125-006-0190</t>
  </si>
  <si>
    <t>130 NE 27 ST</t>
  </si>
  <si>
    <t>01-3125-006-0210</t>
  </si>
  <si>
    <t>144 NE 27 ST</t>
  </si>
  <si>
    <t>01-3125-006-0220</t>
  </si>
  <si>
    <t>150 NE 27 ST</t>
  </si>
  <si>
    <t>0803 MULTIFAMILY 2-9 UNITS : MULTIFAMILY 3 OR MORE UNITS</t>
  </si>
  <si>
    <t>30 - MULTI-FAMILY, LOW-DENSITY (UNDER 25 DU/GROSS ACRE)</t>
  </si>
  <si>
    <t>01-3125-006-0230</t>
  </si>
  <si>
    <t>156 NE 27 ST</t>
  </si>
  <si>
    <t>0802 MULTIFAMILY 2-9 UNITS : 2 LIVING UNITS</t>
  </si>
  <si>
    <t>01-3125-006-0240</t>
  </si>
  <si>
    <t>186 NE 27 ST</t>
  </si>
  <si>
    <t>Y &amp; K ENTERPRISES INC</t>
  </si>
  <si>
    <t>01-3125-006-0010</t>
  </si>
  <si>
    <t>192 NE 27 ST</t>
  </si>
  <si>
    <t>11,726 Sq.Ft</t>
  </si>
  <si>
    <t>01-3125-006-0020</t>
  </si>
  <si>
    <t>2634 NE 2 AV</t>
  </si>
  <si>
    <t>5,823 Sq.Ft</t>
  </si>
  <si>
    <t>01-3125-007-0110</t>
  </si>
  <si>
    <t>145 NE 26 ST</t>
  </si>
  <si>
    <t>6,800 Sq.Ft</t>
  </si>
  <si>
    <t>01-3125-007-0130</t>
  </si>
  <si>
    <t>157 NE 26 ST</t>
  </si>
  <si>
    <t>1,620 Sq.Ft</t>
  </si>
  <si>
    <t>Temporarily Unavailable</t>
  </si>
  <si>
    <t>01-3125-007-0170</t>
  </si>
  <si>
    <t>2,974 Sq.Ft</t>
  </si>
  <si>
    <t>01-3125-007-0150</t>
  </si>
  <si>
    <t>161 NE 26 ST</t>
  </si>
  <si>
    <t>4,501 Sq.Ft</t>
  </si>
  <si>
    <t xml:space="preserve">01-3125-007-0180 </t>
  </si>
  <si>
    <t>167 NE 26 ST</t>
  </si>
  <si>
    <t>8,090 Sq.Ft</t>
  </si>
  <si>
    <t xml:space="preserve">01-3125-007-0190 </t>
  </si>
  <si>
    <t>189 NE 26 ST</t>
  </si>
  <si>
    <t>GATO ENCERRADO LLC</t>
  </si>
  <si>
    <t>9,930 Sq.Ft</t>
  </si>
  <si>
    <t>01-3125-007-0200</t>
  </si>
  <si>
    <t>2626 NE 2 AV</t>
  </si>
  <si>
    <t>MARIO A ARBER TRS</t>
  </si>
  <si>
    <t>13,050 Sq.Ft</t>
  </si>
  <si>
    <t>01-3125-007-0210</t>
  </si>
  <si>
    <t>2600 NE 2 AV</t>
  </si>
  <si>
    <t>MIDTOWN PROPERTY 21 LLC</t>
  </si>
  <si>
    <t>6981 CONTAINER NURSERY ABOVE-GR : VACANT LAND</t>
  </si>
  <si>
    <t>14,154.4 Sq.Ft</t>
  </si>
  <si>
    <t>25 (split)</t>
  </si>
  <si>
    <t>01-3125-007-0120</t>
  </si>
  <si>
    <t>153 NE 26 ST</t>
  </si>
  <si>
    <t>5,538 Sq.Ft</t>
  </si>
  <si>
    <t>Wynwood</t>
  </si>
  <si>
    <t>01-3125-004-0130</t>
  </si>
  <si>
    <t>2827 N MIAMI AVE</t>
  </si>
  <si>
    <t>LEEMA HOLDINGS GROUP LLC</t>
  </si>
  <si>
    <t>3,250 Sq.Ft</t>
  </si>
  <si>
    <t>440 - HOUSES OF WORSHIP AND RELIGIOUS.</t>
  </si>
  <si>
    <t>01-3125-004-0150</t>
  </si>
  <si>
    <t>10 NE 29 ST</t>
  </si>
  <si>
    <t>3,450 Sq.Ft</t>
  </si>
  <si>
    <t>804 - VACANT, NON-PROTECTED, PRIVATELY-OWNED.</t>
  </si>
  <si>
    <t>01-3125-004-0160</t>
  </si>
  <si>
    <t>20 NE 29 ST</t>
  </si>
  <si>
    <t>MIAMI-DADE COUNTY ISD R/E MGMT</t>
  </si>
  <si>
    <t>8080 VACANT GOVERNMENTAL : VACANT LAND - GOVERNMENTAL</t>
  </si>
  <si>
    <t>6,900 Sq.Ft</t>
  </si>
  <si>
    <t>801 - VACANT GOVERNMENT OWNED OR CONTROLLED</t>
  </si>
  <si>
    <t>01-3125-004-0170</t>
  </si>
  <si>
    <t>28 NE 29 ST</t>
  </si>
  <si>
    <t>29 STREET WAREHOUSES LLC</t>
  </si>
  <si>
    <t>2111 RESTAURANT OR CAFETERIA : RETAIL OUTLET</t>
  </si>
  <si>
    <t>01-3125-004-0180</t>
  </si>
  <si>
    <t>40 NE 29 ST</t>
  </si>
  <si>
    <t>2865 PARKING LOT/MOBILE HOME PARK : PARKING LOT</t>
  </si>
  <si>
    <t>13,800 Sq.Ft</t>
  </si>
  <si>
    <t>650 - PARKING - PUBLIC AND PRIVATE GARAGES AND LOTS</t>
  </si>
  <si>
    <t xml:space="preserve">01-3125-004-0190 </t>
  </si>
  <si>
    <t xml:space="preserve">44 NE 29 ST </t>
  </si>
  <si>
    <t xml:space="preserve">29 ST WAREHOUSE LLC </t>
  </si>
  <si>
    <t xml:space="preserve">T6-8-O - </t>
  </si>
  <si>
    <t xml:space="preserve"> 	804 - VACANT, NON-PROTECTED, PRIVATELY-OWNED.</t>
  </si>
  <si>
    <t>01-3125-004-0200</t>
  </si>
  <si>
    <t>50 NE 29 ST</t>
  </si>
  <si>
    <t>01-3125-004-0220</t>
  </si>
  <si>
    <t>80 NE 29 ST; 82 NE 29 ST</t>
  </si>
  <si>
    <t>01-3125-004-0230</t>
  </si>
  <si>
    <t>84 NE 29 ST</t>
  </si>
  <si>
    <t>29TH STREET WAREHOUSES LLC C/O LOMBARDI PROPERTIES</t>
  </si>
  <si>
    <t>01-3125-004-0240</t>
  </si>
  <si>
    <t>100 NE 29 ST; 94 NE 29 ST</t>
  </si>
  <si>
    <t>101 NE 28 STREET LLC</t>
  </si>
  <si>
    <t>24,288 Sq.Ft</t>
  </si>
  <si>
    <t>01-3125-004-0140</t>
  </si>
  <si>
    <t>2817 N MIAMI AVE</t>
  </si>
  <si>
    <t>7,106 Sq.Ft</t>
  </si>
  <si>
    <t>412 - PRIVATE SCHOOLS, INCLUDING PLAYGROUNDS (K-12, VOCATIONAL ED., DAY CARE AND CHILD NURSERIES)</t>
  </si>
  <si>
    <t>01-3125-005-0510</t>
  </si>
  <si>
    <t>2811 N MIAMI AVE</t>
  </si>
  <si>
    <t>7241 EDUCATIONAL/SCIENTIFIC - EX : EDUCATIONAL - PRIVATE</t>
  </si>
  <si>
    <t>5,250 Sq.Ft</t>
  </si>
  <si>
    <t>01-3125-005-0470</t>
  </si>
  <si>
    <t>17 NE 28 ST</t>
  </si>
  <si>
    <t>4081 VACANT LAND - INDUSTRIAL : VACANT LAND</t>
  </si>
  <si>
    <t>01-3125-005-0480</t>
  </si>
  <si>
    <t>21 NE 28 ST</t>
  </si>
  <si>
    <t>6101 CEN-PEDESTRIAN ORIENTATIO</t>
  </si>
  <si>
    <t>825 Sq.Ft</t>
  </si>
  <si>
    <t>T5-O</t>
  </si>
  <si>
    <t>T5-O -</t>
  </si>
  <si>
    <t>01-3125-005-0450</t>
  </si>
  <si>
    <t>25 NE 28 ST</t>
  </si>
  <si>
    <t>UN MELON EN WYNWOOD LLC</t>
  </si>
  <si>
    <t>01-3125-005-0420</t>
  </si>
  <si>
    <t>31 NE 28 ST</t>
  </si>
  <si>
    <t>JAMISON PROPERTIES LLC</t>
  </si>
  <si>
    <t>1713 OFFICE BUILDING - ONE STORY : OFFICE BUILDING</t>
  </si>
  <si>
    <t>342 - INDUSTRIAL INTENSIVE, OFFICE TYPE OF USE</t>
  </si>
  <si>
    <t>01-3125-005-0380</t>
  </si>
  <si>
    <t>37 NE 28 ST</t>
  </si>
  <si>
    <t>1211 MIXED USE-STORE/RESIDENTIAL : RETAIL OUTLET</t>
  </si>
  <si>
    <t>01-3125-005-0360</t>
  </si>
  <si>
    <t>59 NE 28 ST</t>
  </si>
  <si>
    <t>29 ST WAREHOUSES LLC</t>
  </si>
  <si>
    <t>01-3125-005-0350</t>
  </si>
  <si>
    <t>61 NE 28 ST</t>
  </si>
  <si>
    <t>01-3125-005-0330</t>
  </si>
  <si>
    <t>75 NE 28 ST</t>
  </si>
  <si>
    <t>01-3125-005-0300</t>
  </si>
  <si>
    <t>79 NE 28 ST</t>
  </si>
  <si>
    <t>01-3125-005-0280</t>
  </si>
  <si>
    <t>89 NE 28 ST</t>
  </si>
  <si>
    <t>WYNWOOD SPACES LLC</t>
  </si>
  <si>
    <t>339 - INDUSTRIAL EXTENSIVE</t>
  </si>
  <si>
    <t>01-3125-005-0270</t>
  </si>
  <si>
    <t>93 NE 28 ST</t>
  </si>
  <si>
    <t>01-3125-005-0250</t>
  </si>
  <si>
    <t>97 NE 28 ST</t>
  </si>
  <si>
    <t>01-3125-005-0230</t>
  </si>
  <si>
    <t>101 NE 28 ST</t>
  </si>
  <si>
    <t>101 NE 28 ST LLC</t>
  </si>
  <si>
    <t>7,070 Sq.Ft</t>
  </si>
  <si>
    <t>01-3125-006-0130</t>
  </si>
  <si>
    <t>2751 N MIAMI AVE</t>
  </si>
  <si>
    <t>OMM PROJECT INC</t>
  </si>
  <si>
    <t>4132 LIGHT MANUFACTURING : LIGHT MFG &amp; FOOD PROCESSING</t>
  </si>
  <si>
    <t>24,808 Sq.Ft</t>
  </si>
  <si>
    <t>01-3125-005-0490</t>
  </si>
  <si>
    <t>20 NE 28 ST</t>
  </si>
  <si>
    <t>01-3125-005-0460</t>
  </si>
  <si>
    <t>24 NE 28 ST</t>
  </si>
  <si>
    <t>01-3125-005-0440</t>
  </si>
  <si>
    <t>28 NE 28 ST; 30 NE 28 ST</t>
  </si>
  <si>
    <t>FILIBERTO VAZQUEZ &amp;W NIDIA H</t>
  </si>
  <si>
    <t>20 - TWO-FAMILY (DUPLEXES)</t>
  </si>
  <si>
    <t>01-3125-005-0430</t>
  </si>
  <si>
    <t>40 NE 28 ST</t>
  </si>
  <si>
    <t>0066 VACANT RESIDENTIAL : EXTRA FEA OTHER THAN PARKING</t>
  </si>
  <si>
    <t>01-3125-005-0400</t>
  </si>
  <si>
    <t>42 NE 28 ST</t>
  </si>
  <si>
    <t>NEWCOMB PROPERTIES #2 LLC</t>
  </si>
  <si>
    <t>01-3125-005-0390</t>
  </si>
  <si>
    <t>54 NE 28 ST</t>
  </si>
  <si>
    <t>01-3125-005-0370</t>
  </si>
  <si>
    <t>58 NE 28 ST</t>
  </si>
  <si>
    <t>01-3125-005-0340</t>
  </si>
  <si>
    <t>66 NE 28 ST</t>
  </si>
  <si>
    <t>01-3125-005-0310</t>
  </si>
  <si>
    <t>72 NE 28 ST</t>
  </si>
  <si>
    <t>01-3125-005-0290</t>
  </si>
  <si>
    <t>80 NE 28 ST</t>
  </si>
  <si>
    <t>01-3125-005-0240</t>
  </si>
  <si>
    <t>100 NE 28 ST</t>
  </si>
  <si>
    <t>10,570 Sq.Ft</t>
  </si>
  <si>
    <t>01-3125-006-0111</t>
  </si>
  <si>
    <t>27 NE 27 ST</t>
  </si>
  <si>
    <t>27 STREET LLC</t>
  </si>
  <si>
    <t>01-3125-006-0110</t>
  </si>
  <si>
    <t>37 NE 27 ST</t>
  </si>
  <si>
    <t>01-3125-006-0100</t>
  </si>
  <si>
    <t>45 NE 27 ST</t>
  </si>
  <si>
    <t>2719 AUTOMOTIVE OR MARINE : AUTOMOTIVE OR MARINE</t>
  </si>
  <si>
    <t>35,000 Sq.Ft</t>
  </si>
  <si>
    <t>01-3125-006-0090</t>
  </si>
  <si>
    <t>85 NE 27 ST</t>
  </si>
  <si>
    <t>15,750 Sq.Ft</t>
  </si>
  <si>
    <t>01-3125-006-0150</t>
  </si>
  <si>
    <t>2637 N MIAMI AV</t>
  </si>
  <si>
    <t>WYNWOOD GATES LLC</t>
  </si>
  <si>
    <t>15,293 Sq.Ft</t>
  </si>
  <si>
    <t>01-3125-006-0160</t>
  </si>
  <si>
    <t>26 NE 27 ST</t>
  </si>
  <si>
    <t>ART BY GOD INC</t>
  </si>
  <si>
    <t>28,000 Sq.Ft</t>
  </si>
  <si>
    <t>01-3125-006-0170</t>
  </si>
  <si>
    <t>60 NE 27 ST</t>
  </si>
  <si>
    <t>6,985 Sq.Ft</t>
  </si>
  <si>
    <t>01-3125-006-0180</t>
  </si>
  <si>
    <t>62 NE 27 ST</t>
  </si>
  <si>
    <t>GARI NADER &amp; CO LLC</t>
  </si>
  <si>
    <t>4937 OPEN STORAGE : WAREHOUSE OR STORAGE</t>
  </si>
  <si>
    <t>51,644 Sq.Ft</t>
  </si>
  <si>
    <t>01-3125-008-0060</t>
  </si>
  <si>
    <t>EVON ADDN</t>
  </si>
  <si>
    <t>2605 N MIAMI AVE</t>
  </si>
  <si>
    <t>18,455 Sq.Ft</t>
  </si>
  <si>
    <t>01-3125-008-0050</t>
  </si>
  <si>
    <t>21 NE 26 ST</t>
  </si>
  <si>
    <t>21 NE 26 LLC</t>
  </si>
  <si>
    <t>1813 OFFICE BUILDING - MULTISTORY : OFFICE BUILDING</t>
  </si>
  <si>
    <t>7,150 Sq.Ft</t>
  </si>
  <si>
    <t>01-3125-008-0040</t>
  </si>
  <si>
    <t>25 NE 26 ST</t>
  </si>
  <si>
    <t>7,135 Sq.Ft</t>
  </si>
  <si>
    <t>01-3125-008-0030</t>
  </si>
  <si>
    <t>35 NE 26 ST</t>
  </si>
  <si>
    <t>35 NE 26TH STREET LLC</t>
  </si>
  <si>
    <t>1229 MIXED USE-STORE/RESIDENTIAL : MIXED USE - COMMERCIAL</t>
  </si>
  <si>
    <t>01-3125-008-0020</t>
  </si>
  <si>
    <t>45 NE 26 ST</t>
  </si>
  <si>
    <t>35 NE 26 STREET LLC</t>
  </si>
  <si>
    <t>2914 WHOLESALE OUTLET : WHOLESALE OUTLET</t>
  </si>
  <si>
    <t>01-3125-008-0011</t>
  </si>
  <si>
    <t>61 NE 26 ST</t>
  </si>
  <si>
    <t>14,270 Sq.Ft</t>
  </si>
  <si>
    <t>Entry Cap Rate</t>
  </si>
  <si>
    <t>Exit Cap Rate</t>
  </si>
  <si>
    <t>Hold Period</t>
  </si>
  <si>
    <t>Acquisition Date</t>
  </si>
  <si>
    <t>Sales Costs</t>
  </si>
  <si>
    <t>Discount Rate</t>
  </si>
  <si>
    <t>Hard Costs</t>
  </si>
  <si>
    <t>Total Hard Costs</t>
  </si>
  <si>
    <t>Total Soft Costs</t>
  </si>
  <si>
    <t>Interest Reserve</t>
  </si>
  <si>
    <t>Land Size</t>
  </si>
  <si>
    <t>Zoning</t>
  </si>
  <si>
    <t>FAR</t>
  </si>
  <si>
    <t>Total Buildable</t>
  </si>
  <si>
    <t>Construction End</t>
  </si>
  <si>
    <t>Stabilization Date</t>
  </si>
  <si>
    <t>Sales Commission</t>
  </si>
  <si>
    <t>Total Investment Period (Years)</t>
  </si>
  <si>
    <t>Year</t>
  </si>
  <si>
    <t>Date</t>
  </si>
  <si>
    <t>Construction Timeline (Straight-Line)</t>
  </si>
  <si>
    <t>Soft Costs</t>
  </si>
  <si>
    <t>Revenues</t>
  </si>
  <si>
    <t>Occupancy</t>
  </si>
  <si>
    <t>Operating Expenses</t>
  </si>
  <si>
    <t>Total Operating Expenses</t>
  </si>
  <si>
    <t>Net Sales Proceeds</t>
  </si>
  <si>
    <t>Project Unlevered Cash Flows</t>
  </si>
  <si>
    <t>Project Unlevered IRR</t>
  </si>
  <si>
    <t>Project Unlevered Cash Multiple</t>
  </si>
  <si>
    <t>Levered Cash Flows</t>
  </si>
  <si>
    <t>Equity Available</t>
  </si>
  <si>
    <t>Equity Drawn</t>
  </si>
  <si>
    <t>Equity Remaining</t>
  </si>
  <si>
    <t>Cash Flows After Equity Draws</t>
  </si>
  <si>
    <t>Construction Loan</t>
  </si>
  <si>
    <t>Beginning Balance</t>
  </si>
  <si>
    <t>Origination Fee</t>
  </si>
  <si>
    <t>Loan Draws</t>
  </si>
  <si>
    <t>Interest</t>
  </si>
  <si>
    <t>Principal Repayment</t>
  </si>
  <si>
    <t>Ending Balance</t>
  </si>
  <si>
    <t>Cash Flows after Construction Loan</t>
  </si>
  <si>
    <t>Permanent Loan</t>
  </si>
  <si>
    <t>Cash Flows after Permanent Loan</t>
  </si>
  <si>
    <t>Project Levered IRR</t>
  </si>
  <si>
    <t>Project Levered Cash Multiple</t>
  </si>
  <si>
    <t>Project Refinance</t>
  </si>
  <si>
    <t>Ownership</t>
  </si>
  <si>
    <t>Own</t>
  </si>
  <si>
    <t>Commerical</t>
  </si>
  <si>
    <t>Multifamily Rental</t>
  </si>
  <si>
    <t>Project Use Mix</t>
  </si>
  <si>
    <t>SF</t>
  </si>
  <si>
    <t>Phase II - Timeline</t>
  </si>
  <si>
    <t>Phase</t>
  </si>
  <si>
    <t>Phase II</t>
  </si>
  <si>
    <t>Acquire</t>
  </si>
  <si>
    <t>Phase I - Timeline</t>
  </si>
  <si>
    <t>Construction Start Date</t>
  </si>
  <si>
    <t>Uses</t>
  </si>
  <si>
    <t>%</t>
  </si>
  <si>
    <t>$/BSF</t>
  </si>
  <si>
    <t>Land Costs</t>
  </si>
  <si>
    <t>Total Uses</t>
  </si>
  <si>
    <t>Phase I - Sources</t>
  </si>
  <si>
    <t>Total Project Information</t>
  </si>
  <si>
    <t>Phase I - Project Information</t>
  </si>
  <si>
    <t>Phase I - Uses</t>
  </si>
  <si>
    <t>Total Sources</t>
  </si>
  <si>
    <t>Phase I - Financing</t>
  </si>
  <si>
    <t>Interest Rate</t>
  </si>
  <si>
    <t>LTC</t>
  </si>
  <si>
    <t>Loan Amount</t>
  </si>
  <si>
    <t>1 month Libor</t>
  </si>
  <si>
    <t>Spread</t>
  </si>
  <si>
    <t>Total Rate</t>
  </si>
  <si>
    <t>Phase I - Permanent Loan</t>
  </si>
  <si>
    <t>LTV</t>
  </si>
  <si>
    <t>Refinance Cap Rate</t>
  </si>
  <si>
    <t>Refinance Valuation</t>
  </si>
  <si>
    <t>Refinance Proceeds</t>
  </si>
  <si>
    <t>Phase I Pro Forma</t>
  </si>
  <si>
    <t>x</t>
  </si>
  <si>
    <t>Property Information</t>
  </si>
  <si>
    <t>Operating Information</t>
  </si>
  <si>
    <t>Permanent Mortgage Conditions</t>
  </si>
  <si>
    <t>Number of Units</t>
  </si>
  <si>
    <t>Rent/Month</t>
  </si>
  <si>
    <t>Debt</t>
  </si>
  <si>
    <t>GSF</t>
  </si>
  <si>
    <t xml:space="preserve">   Studio Unit</t>
  </si>
  <si>
    <t xml:space="preserve">   1BR</t>
  </si>
  <si>
    <t>Term</t>
  </si>
  <si>
    <t>% Studio</t>
  </si>
  <si>
    <t xml:space="preserve">   2BR</t>
  </si>
  <si>
    <t>Monthly Payment</t>
  </si>
  <si>
    <t>% 1BR</t>
  </si>
  <si>
    <t>Average Vacancy</t>
  </si>
  <si>
    <t>%2BR</t>
  </si>
  <si>
    <t>Average Rental Rate Increase</t>
  </si>
  <si>
    <t>Lease-Up to Stabilization (Months)</t>
  </si>
  <si>
    <t>DSCR</t>
  </si>
  <si>
    <t>Lease-Up Velocity (Units/Month)</t>
  </si>
  <si>
    <t>Debt Yield</t>
  </si>
  <si>
    <t>Average Annual Operating Expense/Unit</t>
  </si>
  <si>
    <t>Cap Rate</t>
  </si>
  <si>
    <t>Total Parking Spaces</t>
  </si>
  <si>
    <t>Average Expense Inflation</t>
  </si>
  <si>
    <t>Management Fee (% of Net Revenues)</t>
  </si>
  <si>
    <t>Sources</t>
  </si>
  <si>
    <t xml:space="preserve">Parking Space rent/space/annum </t>
  </si>
  <si>
    <t xml:space="preserve">Cap Ex Reserve </t>
  </si>
  <si>
    <t>Loan Sizing</t>
  </si>
  <si>
    <t xml:space="preserve">Holding Period </t>
  </si>
  <si>
    <t xml:space="preserve">Discount Rate </t>
  </si>
  <si>
    <t>Reversionary Cap Rate</t>
  </si>
  <si>
    <t>Project Cost</t>
  </si>
  <si>
    <t>Closing Costs</t>
  </si>
  <si>
    <t>Lease Up</t>
  </si>
  <si>
    <t>PGI</t>
  </si>
  <si>
    <t>Studio</t>
  </si>
  <si>
    <t>1BR</t>
  </si>
  <si>
    <t>2BR</t>
  </si>
  <si>
    <t>Pro Forma</t>
  </si>
  <si>
    <t>Revenue</t>
  </si>
  <si>
    <t xml:space="preserve">     Studio</t>
  </si>
  <si>
    <t xml:space="preserve">     1BR</t>
  </si>
  <si>
    <t xml:space="preserve">     2BR</t>
  </si>
  <si>
    <t>Other Income</t>
  </si>
  <si>
    <t xml:space="preserve">     Parking</t>
  </si>
  <si>
    <t>Potential Gross Income</t>
  </si>
  <si>
    <t>Vacancy</t>
  </si>
  <si>
    <t>EGI</t>
  </si>
  <si>
    <t>Management Fee</t>
  </si>
  <si>
    <t>NOI</t>
  </si>
  <si>
    <t>Sale</t>
  </si>
  <si>
    <t>Unleveraged Cash Flow</t>
  </si>
  <si>
    <t>Profit</t>
  </si>
  <si>
    <t>PV</t>
  </si>
  <si>
    <t>NPV</t>
  </si>
  <si>
    <t>Unleveraged IRR</t>
  </si>
  <si>
    <t>Equity Multiple</t>
  </si>
  <si>
    <t>Loan Proceeds</t>
  </si>
  <si>
    <t>Loan Payback</t>
  </si>
  <si>
    <t>Debt Service Payment</t>
  </si>
  <si>
    <t>Leveraged Cash Flow</t>
  </si>
  <si>
    <t>Leveraged IRR</t>
  </si>
  <si>
    <t>Financial Metrics</t>
  </si>
  <si>
    <t>Yield on Cost</t>
  </si>
  <si>
    <t>Cash on Cash</t>
  </si>
  <si>
    <t>Amortization</t>
  </si>
  <si>
    <t>Return on Equity</t>
  </si>
  <si>
    <t>Total Phase I</t>
  </si>
  <si>
    <t>Phase I - Use Mix</t>
  </si>
  <si>
    <t>Phase II - Use Mix</t>
  </si>
  <si>
    <t>Phase I - Hard Cost Estimate</t>
  </si>
  <si>
    <t>Phase I - Soft Cost Estimate</t>
  </si>
  <si>
    <t>Phase II - Soft Cost Estimate</t>
  </si>
  <si>
    <t>Phase II - Hard Cost Estimate</t>
  </si>
  <si>
    <t>Phase I - Total Hard Costs</t>
  </si>
  <si>
    <t>Phase I - Total Soft Costs</t>
  </si>
  <si>
    <t>Phase I - Land Estimate Attributed</t>
  </si>
  <si>
    <t>Phase I - Origination Fee Attributed</t>
  </si>
  <si>
    <t>Phase I - Interest Reserve Attributed</t>
  </si>
  <si>
    <t xml:space="preserve">Total </t>
  </si>
  <si>
    <t>Financial Information</t>
  </si>
  <si>
    <t>PSF</t>
  </si>
  <si>
    <t>RSF</t>
  </si>
  <si>
    <t>Lease Terms</t>
  </si>
  <si>
    <t>Lease Term</t>
  </si>
  <si>
    <t>years</t>
  </si>
  <si>
    <t>Base Rent</t>
  </si>
  <si>
    <t>psf gross</t>
  </si>
  <si>
    <t>Rent Growth</t>
  </si>
  <si>
    <t>annual</t>
  </si>
  <si>
    <t>Repairs and Maintenance</t>
  </si>
  <si>
    <t>Expense Growth</t>
  </si>
  <si>
    <t>Administrative</t>
  </si>
  <si>
    <t>Vacancy Y1</t>
  </si>
  <si>
    <t>TI</t>
  </si>
  <si>
    <t>psf</t>
  </si>
  <si>
    <t>Property Management Fee (% gross revenue)</t>
  </si>
  <si>
    <t>LC</t>
  </si>
  <si>
    <t>Free Rent</t>
  </si>
  <si>
    <t>Months</t>
  </si>
  <si>
    <t>Y1 NOI</t>
  </si>
  <si>
    <t>Loan Terms</t>
  </si>
  <si>
    <t>Proceeds</t>
  </si>
  <si>
    <t>of total cost</t>
  </si>
  <si>
    <t xml:space="preserve">years </t>
  </si>
  <si>
    <t>Loan</t>
  </si>
  <si>
    <t>Monthly PMT</t>
  </si>
  <si>
    <t>Leasing Costs</t>
  </si>
  <si>
    <t>Leasing Commissions</t>
  </si>
  <si>
    <t>Tenant Improvements</t>
  </si>
  <si>
    <t>Commission Calculation (PSF)</t>
  </si>
  <si>
    <t>Rent</t>
  </si>
  <si>
    <t>Percentage</t>
  </si>
  <si>
    <t>Sensitivity Analysis</t>
  </si>
  <si>
    <t>Exit Year</t>
  </si>
  <si>
    <t>Given</t>
  </si>
  <si>
    <t>Construction</t>
  </si>
  <si>
    <t>Rooms</t>
  </si>
  <si>
    <t>ADR</t>
  </si>
  <si>
    <t>ADR Growth</t>
  </si>
  <si>
    <t>Project Costs</t>
  </si>
  <si>
    <t>Average Occupancy</t>
  </si>
  <si>
    <t>Average Daily Rate</t>
  </si>
  <si>
    <t>Number of Rooms</t>
  </si>
  <si>
    <t>Available Rooms</t>
  </si>
  <si>
    <t>Days</t>
  </si>
  <si>
    <t>RevPar</t>
  </si>
  <si>
    <t>Occupied Rooms</t>
  </si>
  <si>
    <t>Revenues - Room</t>
  </si>
  <si>
    <t>Revenues - F&amp;B</t>
  </si>
  <si>
    <t>Revenues - Other Operating Departments</t>
  </si>
  <si>
    <t>Property Assumptions</t>
  </si>
  <si>
    <t>Revenue F&amp;B</t>
  </si>
  <si>
    <t>Revenue Other Operating Departments</t>
  </si>
  <si>
    <t>Revenue Room</t>
  </si>
  <si>
    <t>Expenses Room</t>
  </si>
  <si>
    <t>Expenses F&amp;B</t>
  </si>
  <si>
    <t>Expenses Other Operating Departments</t>
  </si>
  <si>
    <t>OPEX - Other Operating Departments</t>
  </si>
  <si>
    <t>OPEX - F&amp;B</t>
  </si>
  <si>
    <t>OPEX - Room</t>
  </si>
  <si>
    <t>Revenue and Expense Assumptions P.O.R.</t>
  </si>
  <si>
    <t>Undistributed Operating Expenses</t>
  </si>
  <si>
    <t>Administrative &amp; General</t>
  </si>
  <si>
    <t>Marketing</t>
  </si>
  <si>
    <t>Franchise Fee</t>
  </si>
  <si>
    <t>Prop. Operations &amp; Maint.</t>
  </si>
  <si>
    <t>Information and Telecommunications</t>
  </si>
  <si>
    <t>Total Undistributed Operating Expenses</t>
  </si>
  <si>
    <t>Undistributed Operating Expenses P.O.R.</t>
  </si>
  <si>
    <t>Efficiency</t>
  </si>
  <si>
    <t>of Hard Costs</t>
  </si>
  <si>
    <t>Market Rate Rental</t>
  </si>
  <si>
    <t>Commercial</t>
  </si>
  <si>
    <t>Phase I - Net Operating Income (NOI)</t>
  </si>
  <si>
    <t>Total Phase I Revenues</t>
  </si>
  <si>
    <t>Total Phase I Operating Expenses</t>
  </si>
  <si>
    <t>Construction Period Years</t>
  </si>
  <si>
    <t>Phase I - Asset Valuation</t>
  </si>
  <si>
    <t>check --&gt;</t>
  </si>
  <si>
    <t>Refinance NOI</t>
  </si>
  <si>
    <t>Project Sale</t>
  </si>
  <si>
    <t>Phase I - Assumptions</t>
  </si>
  <si>
    <t>Phase II - Assumptions</t>
  </si>
  <si>
    <t>Phase II Pro Forma</t>
  </si>
  <si>
    <t>Phase II - Total Hard Costs</t>
  </si>
  <si>
    <t>Phase II - Total Soft Costs</t>
  </si>
  <si>
    <t>Phase II - Land Estimate Attributed</t>
  </si>
  <si>
    <t>Phase II - Origination Fee Attributed</t>
  </si>
  <si>
    <t>Phase II - Interest Reserve Attributed</t>
  </si>
  <si>
    <t>Per SF</t>
  </si>
  <si>
    <t>Phase II - Project Information</t>
  </si>
  <si>
    <t>Phase II - Uses</t>
  </si>
  <si>
    <t>Phase II - Sources</t>
  </si>
  <si>
    <t>Phase II - Financing</t>
  </si>
  <si>
    <t>Phase II - Permanent Loan</t>
  </si>
  <si>
    <t>Blended FAR</t>
  </si>
  <si>
    <t>LIHTC Equity</t>
  </si>
  <si>
    <t>Affordable Rental</t>
  </si>
  <si>
    <t>&lt;-- Percent Affordable</t>
  </si>
  <si>
    <t>Phase I:</t>
  </si>
  <si>
    <t>&lt;-- Check</t>
  </si>
  <si>
    <t>Phase II:</t>
  </si>
  <si>
    <t>Affordability</t>
  </si>
  <si>
    <t>Applicable Fraction</t>
  </si>
  <si>
    <t>Acquisition Basis</t>
  </si>
  <si>
    <t>New Construction Basis</t>
  </si>
  <si>
    <t>Qualified Census Tract?</t>
  </si>
  <si>
    <t>Y</t>
  </si>
  <si>
    <t>Basis Boost</t>
  </si>
  <si>
    <t>Qualified Basis</t>
  </si>
  <si>
    <t>4% Credit Percentage</t>
  </si>
  <si>
    <t>Annual Credits</t>
  </si>
  <si>
    <t>Total Credit Amount</t>
  </si>
  <si>
    <t>Percentage Syndicated</t>
  </si>
  <si>
    <t>Syndication Price</t>
  </si>
  <si>
    <t xml:space="preserve">LIHTC Equity </t>
  </si>
  <si>
    <t>LIHTC Eligible</t>
  </si>
  <si>
    <t>Opportunity Zone Equity</t>
  </si>
  <si>
    <t>Affordable Rental Housing</t>
  </si>
  <si>
    <t>Permanent Loan Origination</t>
  </si>
  <si>
    <t>Project Sale Date</t>
  </si>
  <si>
    <t>Permenant Loan Origination</t>
  </si>
  <si>
    <t>Hold Period after Stabilzation (Years)</t>
  </si>
  <si>
    <t>Stabilization Period (Years)</t>
  </si>
  <si>
    <t>Lease-Up</t>
  </si>
  <si>
    <t>Stabilization</t>
  </si>
  <si>
    <t>Acquisition</t>
  </si>
  <si>
    <t>Market-Rate Housing</t>
  </si>
  <si>
    <t>Present Value</t>
  </si>
  <si>
    <t>Pre-Dev</t>
  </si>
  <si>
    <t>&lt;--Discount Rate</t>
  </si>
  <si>
    <t>Market Rate Rental Housing</t>
  </si>
  <si>
    <t>Hotel (rooms)</t>
  </si>
  <si>
    <t>Structured Parking (spaces)</t>
  </si>
  <si>
    <t>Retail (units)</t>
  </si>
  <si>
    <t>Project Buildout by Area (RSF)</t>
  </si>
  <si>
    <t>Average Retail Unit Size</t>
  </si>
  <si>
    <t>Retail Units</t>
  </si>
  <si>
    <t>Unit TDC</t>
  </si>
  <si>
    <t>Unit Hard Cost</t>
  </si>
  <si>
    <t>TDC</t>
  </si>
  <si>
    <t>Public Subsidies (total)</t>
  </si>
  <si>
    <t>Developer Equity</t>
  </si>
  <si>
    <t>Opportunity Zone Fund Equity</t>
  </si>
  <si>
    <t>Average Room Size</t>
  </si>
  <si>
    <t>Check --&gt;</t>
  </si>
  <si>
    <t>Millage Rate</t>
  </si>
  <si>
    <t>Minimum DSCR</t>
  </si>
  <si>
    <t>School Percentage</t>
  </si>
  <si>
    <t>TIID SMART Plan</t>
  </si>
  <si>
    <t>Tax Adjusted Capitalization Rate</t>
  </si>
  <si>
    <t>Actual Effective Tax Rate</t>
  </si>
  <si>
    <t>Exit Capitalization Rate</t>
  </si>
  <si>
    <t>Construction Completion Date</t>
  </si>
  <si>
    <t>Project Value at Completion</t>
  </si>
  <si>
    <t>TIF Year</t>
  </si>
  <si>
    <t>Starting Value</t>
  </si>
  <si>
    <t>Project Value</t>
  </si>
  <si>
    <t>Assessed Value</t>
  </si>
  <si>
    <t>Incremental Taxes</t>
  </si>
  <si>
    <t>Existing Taxes</t>
  </si>
  <si>
    <t>Total PILOT and Taxes</t>
  </si>
  <si>
    <t>Available for Debt Service</t>
  </si>
  <si>
    <t>Maximum Projected Debt Service</t>
  </si>
  <si>
    <t>3BR</t>
  </si>
  <si>
    <t xml:space="preserve">   3BR</t>
  </si>
  <si>
    <t xml:space="preserve">     3BR</t>
  </si>
  <si>
    <t>Increase Every (Year)</t>
  </si>
  <si>
    <t>Tax Assessment Rate</t>
  </si>
  <si>
    <t>Minimum Debt Service</t>
  </si>
  <si>
    <t>Maximum Loan Size</t>
  </si>
  <si>
    <t>TIID SMART Plan Loan</t>
  </si>
  <si>
    <t>Real Estate Taxes</t>
  </si>
  <si>
    <t>Infrastructure Budget</t>
  </si>
  <si>
    <t>Miami Forever Bond</t>
  </si>
  <si>
    <t>Public Plaza</t>
  </si>
  <si>
    <t>Cost/SF</t>
  </si>
  <si>
    <t>Plaza 2</t>
  </si>
  <si>
    <t>Plaza 3</t>
  </si>
  <si>
    <t>Plaza 4</t>
  </si>
  <si>
    <t>Plaza 5</t>
  </si>
  <si>
    <t>Plaza 6</t>
  </si>
  <si>
    <t>Total SF</t>
  </si>
  <si>
    <t>Total Cost</t>
  </si>
  <si>
    <t>Phase I ($)</t>
  </si>
  <si>
    <t>Phase II ($)</t>
  </si>
  <si>
    <t>Plaza 1</t>
  </si>
  <si>
    <t>Infrastructure Total</t>
  </si>
  <si>
    <t>Plaza 7</t>
  </si>
  <si>
    <t>Solar Panels</t>
  </si>
  <si>
    <t>Storm Water Cisterns</t>
  </si>
  <si>
    <t>Parking Structure</t>
  </si>
  <si>
    <t>Cost/Space</t>
  </si>
  <si>
    <t>Spaces</t>
  </si>
  <si>
    <t>Demo</t>
  </si>
  <si>
    <t>Total Spaces</t>
  </si>
  <si>
    <t>Piping, Gas Service, and Distribution</t>
  </si>
  <si>
    <t>Cost/DU</t>
  </si>
  <si>
    <t>DU</t>
  </si>
  <si>
    <r>
      <t>Market-Rate Rental</t>
    </r>
    <r>
      <rPr>
        <vertAlign val="superscript"/>
        <sz val="10"/>
        <rFont val="Arial"/>
        <family val="2"/>
      </rPr>
      <t>1</t>
    </r>
  </si>
  <si>
    <t>1. Parking NOI included in Market-Rate Rental and Affordable Rental NOI</t>
  </si>
  <si>
    <t>Street Grid Realignment</t>
  </si>
  <si>
    <t>Public Plazas</t>
  </si>
  <si>
    <t>Storm Water Retention</t>
  </si>
  <si>
    <r>
      <t>Affordable Rental Housing</t>
    </r>
    <r>
      <rPr>
        <vertAlign val="superscript"/>
        <sz val="10"/>
        <rFont val="Arial"/>
        <family val="2"/>
      </rPr>
      <t>1</t>
    </r>
  </si>
  <si>
    <t>Total Plaza Space</t>
  </si>
  <si>
    <t>Team Number 2019-331</t>
  </si>
  <si>
    <t>Hotel Cash Flow</t>
  </si>
  <si>
    <t>Commercial Cash Flow (Office, Biotech, etc.)</t>
  </si>
  <si>
    <t>Affordable Rental Cash Flow</t>
  </si>
  <si>
    <t>Market-Rate Rental Cash Flow</t>
  </si>
  <si>
    <t>Retail Cash Flow</t>
  </si>
  <si>
    <t>Project Information</t>
  </si>
  <si>
    <t>Phase I - Construction Start Date</t>
  </si>
  <si>
    <t>Phase I - Construction Period Years</t>
  </si>
  <si>
    <t>Phase I - Construction End</t>
  </si>
  <si>
    <t>Phase I - Stabilization Period (Years)</t>
  </si>
  <si>
    <t>Phase II - Construction Start Date</t>
  </si>
  <si>
    <t>Phase II - Construction Period Years</t>
  </si>
  <si>
    <t>Phase II - Construction End</t>
  </si>
  <si>
    <t>Phase II - Stabilization Period (Years)</t>
  </si>
  <si>
    <t>Project Timeline</t>
  </si>
  <si>
    <t>Area Matrix</t>
  </si>
  <si>
    <t>Development Summary</t>
  </si>
  <si>
    <t>Financial Summary</t>
  </si>
  <si>
    <t>Project Average FAR</t>
  </si>
  <si>
    <t>Development Cost</t>
  </si>
  <si>
    <t>Project Profit</t>
  </si>
  <si>
    <t>Levered IRR</t>
  </si>
  <si>
    <t>Stabilized Annual NOI</t>
  </si>
  <si>
    <t>Project Refinance/Sale</t>
  </si>
  <si>
    <t>Total Buildable SF</t>
  </si>
  <si>
    <t>Unlevered IRR</t>
  </si>
  <si>
    <t>T-6-24</t>
  </si>
  <si>
    <t>Parking</t>
  </si>
  <si>
    <t>Phase I - Unit Matrix</t>
  </si>
  <si>
    <t>Project Unit Matrix</t>
  </si>
  <si>
    <t>Phase II - Unit Matrix</t>
  </si>
  <si>
    <t>Total Project Uses</t>
  </si>
  <si>
    <t>Phase I - Exit Cap Rate</t>
  </si>
  <si>
    <t>Phase II - Exit Cap Rate</t>
  </si>
  <si>
    <t>Multifamily Key Assumptions</t>
  </si>
  <si>
    <t>% 2BR</t>
  </si>
  <si>
    <t>Commercial/Office Key Assumptions</t>
  </si>
  <si>
    <t>Market-Rate Rent Studio</t>
  </si>
  <si>
    <t>Market-Rate Rent 1BR</t>
  </si>
  <si>
    <t>Market-Rate Rent 2BR</t>
  </si>
  <si>
    <t>Affordable Rent 2BR</t>
  </si>
  <si>
    <t>Affordable Rent 3BR</t>
  </si>
  <si>
    <t>Retail Key Assumptions</t>
  </si>
  <si>
    <t>Hotel Key Assumptions</t>
  </si>
  <si>
    <t>Units</t>
  </si>
  <si>
    <t>Construction Financing</t>
  </si>
  <si>
    <t>Interest Rate 1mL plus 350</t>
  </si>
  <si>
    <t>Residential SF:</t>
  </si>
  <si>
    <t>Total Unit Count:</t>
  </si>
  <si>
    <t>Total Affordable Units:</t>
  </si>
  <si>
    <t>Total Market Rate Units:</t>
  </si>
  <si>
    <t>Office SF:</t>
  </si>
  <si>
    <t>Retail SF:</t>
  </si>
  <si>
    <t>Hotel SF:</t>
  </si>
  <si>
    <t>Parking Spaces:</t>
  </si>
  <si>
    <t>Highlights:</t>
  </si>
  <si>
    <t>Tenants:</t>
  </si>
  <si>
    <t>Green Aspect:</t>
  </si>
  <si>
    <t>Community Aspect:</t>
  </si>
  <si>
    <t>Resiliency Aspect:</t>
  </si>
  <si>
    <t>Opportunity Zone Funds:</t>
  </si>
  <si>
    <t>LIHTC Equity:</t>
  </si>
  <si>
    <t>Miami Forever Bond:</t>
  </si>
  <si>
    <t>TIID SMART Plan:</t>
  </si>
  <si>
    <t>Phase II - Building SF</t>
  </si>
  <si>
    <t>Phase I - Building SF</t>
  </si>
  <si>
    <t>Total Hard Costs:</t>
  </si>
  <si>
    <t>Total Building SF</t>
  </si>
  <si>
    <t>Total Net Rentable SF</t>
  </si>
  <si>
    <t>FLOOR</t>
  </si>
  <si>
    <t>BLDG 1</t>
  </si>
  <si>
    <t>BLDG 2</t>
  </si>
  <si>
    <t>BLDG 3</t>
  </si>
  <si>
    <t>BLDG 4 (L)</t>
  </si>
  <si>
    <t>BLDG 4.5</t>
  </si>
  <si>
    <t>BLDG 5(AG)</t>
  </si>
  <si>
    <t>BLDG 5 (M)</t>
  </si>
  <si>
    <t>Open Space/Plaza</t>
  </si>
  <si>
    <t>BLDG 4</t>
  </si>
  <si>
    <t>BLDG 5</t>
  </si>
  <si>
    <t xml:space="preserve">Efficiency </t>
  </si>
  <si>
    <t>Residential SF</t>
  </si>
  <si>
    <t>Total Unit Count</t>
  </si>
  <si>
    <t>Total Affordable Units</t>
  </si>
  <si>
    <t xml:space="preserve">Total Market Rate Units </t>
  </si>
  <si>
    <t>Office SF</t>
  </si>
  <si>
    <t>Retail SF</t>
  </si>
  <si>
    <t>Hotel SF</t>
  </si>
  <si>
    <t>Open Space SF</t>
  </si>
  <si>
    <t xml:space="preserve">Parking Spaces </t>
  </si>
  <si>
    <t xml:space="preserve">Highlights </t>
  </si>
  <si>
    <t>Tenants</t>
  </si>
  <si>
    <t xml:space="preserve">Green Aspect </t>
  </si>
  <si>
    <t xml:space="preserve">Community Aspect </t>
  </si>
  <si>
    <t xml:space="preserve">Resiliency Aspect </t>
  </si>
  <si>
    <t>Total Construction Cost</t>
  </si>
  <si>
    <t xml:space="preserve">Total Equity </t>
  </si>
  <si>
    <t xml:space="preserve">Opportunity Zone Funding </t>
  </si>
  <si>
    <t>TID SMART Plan</t>
  </si>
  <si>
    <t xml:space="preserve">Miami Forever Bond </t>
  </si>
  <si>
    <t xml:space="preserve">Equity Multiple </t>
  </si>
  <si>
    <t>Total Phase II</t>
  </si>
  <si>
    <t>Total Development SF</t>
  </si>
  <si>
    <t>&lt;--Check</t>
  </si>
  <si>
    <t>Civic</t>
  </si>
  <si>
    <t>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</si>
</sst>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  <numFmt numFmtId="167" formatCode="_(* #,##0_);_(* \(#,##0\);_(* &quot;-&quot;??_);_(@_)\ &quot;sf&quot;"/>
    <numFmt numFmtId="168" formatCode="0\ &quot;years&quot;"/>
    <numFmt numFmtId="169" formatCode="&quot;$&quot;#,##0_);\(&quot;$&quot;#,##0\);\–_);&quot;–&quot;_)"/>
    <numFmt numFmtId="170" formatCode="#,##0_);\(#,##0\);\–_);&quot;–&quot;_)"/>
    <numFmt numFmtId="171" formatCode="0.0"/>
    <numFmt numFmtId="172" formatCode="0.0%_);\(0.0%\);&quot;–&quot;_)"/>
    <numFmt numFmtId="173" formatCode="0.0%"/>
    <numFmt numFmtId="174" formatCode="#,##0.0_);\(#,##0.0\);\–_);&quot;–&quot;_)"/>
    <numFmt numFmtId="175" formatCode="0%_);\(0%\);&quot;–&quot;_)"/>
    <numFmt numFmtId="176" formatCode="0.0\x_);\(0.0\x\);&quot;–&quot;_)"/>
    <numFmt numFmtId="177" formatCode="General\ &quot;months&quot;"/>
    <numFmt numFmtId="178" formatCode="General\ &quot;years&quot;"/>
    <numFmt numFmtId="179" formatCode="&quot;Month&quot;\ 0"/>
    <numFmt numFmtId="180" formatCode="&quot;Year&quot;\ 0"/>
    <numFmt numFmtId="181" formatCode="0.00\x"/>
    <numFmt numFmtId="182" formatCode="&quot;$&quot;#,##0.0_);[Red]\(&quot;$&quot;#,##0.0\)"/>
    <numFmt numFmtId="183" formatCode="0%\ &quot;of EGI&quot;"/>
    <numFmt numFmtId="184" formatCode="&quot;Year&quot;\ General"/>
    <numFmt numFmtId="185" formatCode="&quot;$&quot;#,##0"/>
    <numFmt numFmtId="186" formatCode="&quot;$&quot;#,##0.00"/>
    <numFmt numFmtId="187" formatCode="General\ &quot;sf&quot;"/>
    <numFmt numFmtId="188" formatCode="&quot;$&quot;#,##0&quot;/unit&quot;"/>
    <numFmt numFmtId="189" formatCode="&quot;$&quot;#,##0&quot;/gsf&quot;"/>
    <numFmt numFmtId="190" formatCode="&quot;$&quot;#,##0&quot;/key&quot;"/>
    <numFmt numFmtId="191" formatCode="0&quot; years&quot;"/>
    <numFmt numFmtId="192" formatCode="0.00&quot;x&quot;"/>
    <numFmt numFmtId="193" formatCode="#,##0_);\(#,##0\)\ &quot;sf&quot;"/>
    <numFmt numFmtId="194" formatCode="0%\ &quot;of market rate&quot;"/>
    <numFmt numFmtId="195" formatCode="#,##0\ &quot;sf&quot;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8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8"/>
      <name val="游ゴシック"/>
      <family val="3"/>
      <charset val="128"/>
    </font>
    <font>
      <sz val="12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b/>
      <sz val="11"/>
      <color rgb="FF0070C0"/>
      <name val="Calibri"/>
      <family val="2"/>
      <scheme val="minor"/>
    </font>
    <font>
      <sz val="11"/>
      <color theme="1"/>
      <name val="Helvetica Narrow"/>
      <family val="2"/>
    </font>
    <font>
      <sz val="11"/>
      <color rgb="FF0070C0"/>
      <name val="Helvetica Narrow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rgb="FF002060"/>
      <name val="Arial"/>
      <family val="2"/>
    </font>
    <font>
      <sz val="12"/>
      <name val="Arial"/>
      <family val="2"/>
    </font>
    <font>
      <sz val="12"/>
      <color rgb="FF0000FF"/>
      <name val="Arial"/>
      <family val="2"/>
    </font>
    <font>
      <sz val="12"/>
      <color rgb="FF00B050"/>
      <name val="Arial"/>
      <family val="2"/>
    </font>
    <font>
      <sz val="12"/>
      <color rgb="FF0070C0"/>
      <name val="Arial"/>
      <family val="2"/>
    </font>
    <font>
      <b/>
      <sz val="12"/>
      <name val="Arial"/>
      <family val="2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vertAlign val="superscript"/>
      <sz val="10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u/>
      <sz val="10"/>
      <color theme="1"/>
      <name val="Arial"/>
      <family val="2"/>
    </font>
    <font>
      <u/>
      <sz val="10"/>
      <color rgb="FF002060"/>
      <name val="Arial"/>
      <family val="2"/>
    </font>
    <font>
      <u/>
      <sz val="10"/>
      <color rgb="FFFFC000"/>
      <name val="Arial"/>
      <family val="2"/>
    </font>
    <font>
      <b/>
      <sz val="10"/>
      <color theme="1"/>
      <name val="Arial"/>
      <family val="2"/>
    </font>
    <font>
      <sz val="10"/>
      <color rgb="FF33333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7EF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12">
    <xf numFmtId="0" fontId="0" fillId="0" borderId="0"/>
    <xf numFmtId="0" fontId="7" fillId="0" borderId="0"/>
    <xf numFmtId="43" fontId="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</cellStyleXfs>
  <cellXfs count="700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9" fontId="1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2" xfId="0" applyFont="1" applyBorder="1"/>
    <xf numFmtId="0" fontId="15" fillId="0" borderId="0" xfId="0" applyFont="1"/>
    <xf numFmtId="169" fontId="0" fillId="0" borderId="0" xfId="0" applyNumberFormat="1"/>
    <xf numFmtId="6" fontId="0" fillId="0" borderId="0" xfId="0" applyNumberFormat="1"/>
    <xf numFmtId="0" fontId="14" fillId="0" borderId="8" xfId="0" applyFont="1" applyBorder="1"/>
    <xf numFmtId="0" fontId="14" fillId="0" borderId="0" xfId="0" applyFont="1"/>
    <xf numFmtId="0" fontId="14" fillId="4" borderId="7" xfId="0" applyFont="1" applyFill="1" applyBorder="1"/>
    <xf numFmtId="0" fontId="0" fillId="4" borderId="7" xfId="0" applyFill="1" applyBorder="1"/>
    <xf numFmtId="172" fontId="0" fillId="0" borderId="0" xfId="0" applyNumberFormat="1"/>
    <xf numFmtId="14" fontId="0" fillId="0" borderId="0" xfId="0" applyNumberFormat="1"/>
    <xf numFmtId="0" fontId="14" fillId="0" borderId="9" xfId="0" applyFont="1" applyBorder="1"/>
    <xf numFmtId="0" fontId="14" fillId="0" borderId="10" xfId="0" applyFont="1" applyBorder="1"/>
    <xf numFmtId="174" fontId="14" fillId="0" borderId="11" xfId="0" applyNumberFormat="1" applyFont="1" applyBorder="1"/>
    <xf numFmtId="0" fontId="17" fillId="0" borderId="0" xfId="0" applyFont="1" applyAlignment="1">
      <alignment horizontal="center"/>
    </xf>
    <xf numFmtId="175" fontId="0" fillId="0" borderId="0" xfId="0" applyNumberFormat="1" applyAlignment="1">
      <alignment horizontal="center"/>
    </xf>
    <xf numFmtId="175" fontId="0" fillId="0" borderId="0" xfId="0" applyNumberFormat="1"/>
    <xf numFmtId="169" fontId="0" fillId="0" borderId="0" xfId="0" applyNumberFormat="1" applyAlignment="1">
      <alignment horizontal="center"/>
    </xf>
    <xf numFmtId="169" fontId="0" fillId="0" borderId="8" xfId="0" applyNumberFormat="1" applyBorder="1"/>
    <xf numFmtId="0" fontId="0" fillId="0" borderId="0" xfId="0" applyAlignment="1">
      <alignment horizontal="left" indent="2"/>
    </xf>
    <xf numFmtId="0" fontId="14" fillId="0" borderId="0" xfId="0" applyFont="1" applyAlignment="1">
      <alignment horizontal="left"/>
    </xf>
    <xf numFmtId="169" fontId="14" fillId="0" borderId="0" xfId="0" applyNumberFormat="1" applyFont="1"/>
    <xf numFmtId="0" fontId="14" fillId="6" borderId="12" xfId="0" applyFont="1" applyFill="1" applyBorder="1"/>
    <xf numFmtId="0" fontId="14" fillId="6" borderId="13" xfId="0" applyFont="1" applyFill="1" applyBorder="1"/>
    <xf numFmtId="172" fontId="14" fillId="6" borderId="14" xfId="0" applyNumberFormat="1" applyFont="1" applyFill="1" applyBorder="1" applyAlignment="1">
      <alignment horizontal="center"/>
    </xf>
    <xf numFmtId="0" fontId="14" fillId="6" borderId="15" xfId="0" applyFont="1" applyFill="1" applyBorder="1"/>
    <xf numFmtId="0" fontId="14" fillId="6" borderId="6" xfId="0" applyFont="1" applyFill="1" applyBorder="1"/>
    <xf numFmtId="176" fontId="14" fillId="6" borderId="16" xfId="0" applyNumberFormat="1" applyFont="1" applyFill="1" applyBorder="1" applyAlignment="1">
      <alignment horizontal="center"/>
    </xf>
    <xf numFmtId="0" fontId="0" fillId="5" borderId="0" xfId="0" applyFill="1"/>
    <xf numFmtId="164" fontId="0" fillId="0" borderId="0" xfId="2" applyNumberFormat="1" applyFont="1"/>
    <xf numFmtId="9" fontId="13" fillId="0" borderId="0" xfId="0" applyNumberFormat="1" applyFont="1"/>
    <xf numFmtId="10" fontId="12" fillId="0" borderId="0" xfId="0" applyNumberFormat="1" applyFont="1"/>
    <xf numFmtId="168" fontId="12" fillId="0" borderId="0" xfId="0" applyNumberFormat="1" applyFont="1"/>
    <xf numFmtId="14" fontId="12" fillId="0" borderId="0" xfId="0" applyNumberFormat="1" applyFont="1"/>
    <xf numFmtId="9" fontId="12" fillId="0" borderId="0" xfId="0" applyNumberFormat="1" applyFont="1"/>
    <xf numFmtId="0" fontId="7" fillId="4" borderId="7" xfId="0" applyFont="1" applyFill="1" applyBorder="1" applyAlignment="1">
      <alignment horizontal="center"/>
    </xf>
    <xf numFmtId="173" fontId="12" fillId="0" borderId="0" xfId="0" applyNumberFormat="1" applyFont="1" applyFill="1"/>
    <xf numFmtId="0" fontId="12" fillId="0" borderId="0" xfId="0" applyFont="1" applyFill="1"/>
    <xf numFmtId="0" fontId="0" fillId="0" borderId="2" xfId="0" applyBorder="1"/>
    <xf numFmtId="9" fontId="7" fillId="0" borderId="2" xfId="0" applyNumberFormat="1" applyFont="1" applyBorder="1"/>
    <xf numFmtId="0" fontId="18" fillId="5" borderId="7" xfId="0" applyFont="1" applyFill="1" applyBorder="1"/>
    <xf numFmtId="0" fontId="18" fillId="5" borderId="7" xfId="0" applyFont="1" applyFill="1" applyBorder="1" applyAlignment="1">
      <alignment horizontal="center"/>
    </xf>
    <xf numFmtId="172" fontId="0" fillId="0" borderId="0" xfId="0" applyNumberFormat="1" applyAlignment="1">
      <alignment horizontal="center"/>
    </xf>
    <xf numFmtId="5" fontId="0" fillId="0" borderId="0" xfId="0" applyNumberFormat="1" applyAlignment="1">
      <alignment horizontal="center"/>
    </xf>
    <xf numFmtId="169" fontId="14" fillId="0" borderId="8" xfId="0" applyNumberFormat="1" applyFont="1" applyBorder="1" applyAlignment="1">
      <alignment horizontal="center"/>
    </xf>
    <xf numFmtId="5" fontId="14" fillId="0" borderId="8" xfId="0" applyNumberFormat="1" applyFont="1" applyBorder="1" applyAlignment="1">
      <alignment horizontal="center"/>
    </xf>
    <xf numFmtId="170" fontId="11" fillId="0" borderId="0" xfId="0" applyNumberFormat="1" applyFont="1" applyFill="1"/>
    <xf numFmtId="6" fontId="0" fillId="0" borderId="0" xfId="2" applyNumberFormat="1" applyFont="1" applyAlignment="1">
      <alignment horizontal="center"/>
    </xf>
    <xf numFmtId="0" fontId="0" fillId="4" borderId="7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177" fontId="13" fillId="0" borderId="0" xfId="0" applyNumberFormat="1" applyFont="1" applyAlignment="1">
      <alignment horizontal="center"/>
    </xf>
    <xf numFmtId="169" fontId="0" fillId="0" borderId="2" xfId="0" applyNumberFormat="1" applyBorder="1" applyAlignment="1">
      <alignment horizontal="center"/>
    </xf>
    <xf numFmtId="169" fontId="0" fillId="0" borderId="2" xfId="0" applyNumberFormat="1" applyBorder="1"/>
    <xf numFmtId="5" fontId="0" fillId="0" borderId="0" xfId="0" applyNumberFormat="1"/>
    <xf numFmtId="0" fontId="7" fillId="0" borderId="0" xfId="0" applyFont="1" applyAlignment="1">
      <alignment horizontal="right"/>
    </xf>
    <xf numFmtId="6" fontId="0" fillId="0" borderId="2" xfId="0" applyNumberFormat="1" applyBorder="1"/>
    <xf numFmtId="0" fontId="21" fillId="0" borderId="0" xfId="6"/>
    <xf numFmtId="0" fontId="22" fillId="8" borderId="0" xfId="6" applyFont="1" applyFill="1"/>
    <xf numFmtId="0" fontId="23" fillId="0" borderId="0" xfId="6" applyFont="1"/>
    <xf numFmtId="0" fontId="24" fillId="0" borderId="0" xfId="6" applyFont="1"/>
    <xf numFmtId="6" fontId="21" fillId="0" borderId="0" xfId="6" applyNumberFormat="1"/>
    <xf numFmtId="9" fontId="23" fillId="0" borderId="0" xfId="6" applyNumberFormat="1" applyFont="1"/>
    <xf numFmtId="164" fontId="23" fillId="0" borderId="0" xfId="7" applyNumberFormat="1" applyFont="1"/>
    <xf numFmtId="173" fontId="23" fillId="0" borderId="0" xfId="6" applyNumberFormat="1" applyFont="1"/>
    <xf numFmtId="178" fontId="23" fillId="0" borderId="0" xfId="6" applyNumberFormat="1" applyFont="1"/>
    <xf numFmtId="0" fontId="22" fillId="0" borderId="0" xfId="6" applyFont="1"/>
    <xf numFmtId="8" fontId="21" fillId="0" borderId="0" xfId="6" applyNumberFormat="1"/>
    <xf numFmtId="43" fontId="23" fillId="0" borderId="0" xfId="7" applyFont="1"/>
    <xf numFmtId="6" fontId="23" fillId="0" borderId="0" xfId="6" applyNumberFormat="1" applyFont="1"/>
    <xf numFmtId="43" fontId="0" fillId="0" borderId="0" xfId="7" applyFont="1"/>
    <xf numFmtId="9" fontId="21" fillId="0" borderId="0" xfId="6" applyNumberFormat="1"/>
    <xf numFmtId="0" fontId="21" fillId="0" borderId="1" xfId="6" applyBorder="1"/>
    <xf numFmtId="9" fontId="25" fillId="0" borderId="1" xfId="6" applyNumberFormat="1" applyFont="1" applyBorder="1"/>
    <xf numFmtId="6" fontId="21" fillId="0" borderId="1" xfId="6" applyNumberFormat="1" applyBorder="1"/>
    <xf numFmtId="10" fontId="23" fillId="0" borderId="0" xfId="6" applyNumberFormat="1" applyFont="1"/>
    <xf numFmtId="6" fontId="25" fillId="0" borderId="0" xfId="6" applyNumberFormat="1" applyFont="1"/>
    <xf numFmtId="179" fontId="22" fillId="8" borderId="0" xfId="6" applyNumberFormat="1" applyFont="1" applyFill="1" applyAlignment="1">
      <alignment horizontal="center"/>
    </xf>
    <xf numFmtId="0" fontId="21" fillId="0" borderId="2" xfId="6" applyBorder="1"/>
    <xf numFmtId="6" fontId="21" fillId="0" borderId="2" xfId="6" applyNumberFormat="1" applyBorder="1"/>
    <xf numFmtId="180" fontId="22" fillId="8" borderId="0" xfId="6" applyNumberFormat="1" applyFont="1" applyFill="1" applyAlignment="1">
      <alignment horizontal="center"/>
    </xf>
    <xf numFmtId="0" fontId="26" fillId="0" borderId="0" xfId="6" applyFont="1"/>
    <xf numFmtId="9" fontId="26" fillId="0" borderId="0" xfId="6" applyNumberFormat="1" applyFont="1" applyAlignment="1">
      <alignment horizontal="center"/>
    </xf>
    <xf numFmtId="0" fontId="21" fillId="0" borderId="17" xfId="6" applyBorder="1"/>
    <xf numFmtId="0" fontId="21" fillId="0" borderId="18" xfId="6" applyBorder="1"/>
    <xf numFmtId="6" fontId="21" fillId="0" borderId="19" xfId="6" applyNumberFormat="1" applyBorder="1"/>
    <xf numFmtId="0" fontId="21" fillId="0" borderId="20" xfId="6" applyBorder="1"/>
    <xf numFmtId="8" fontId="21" fillId="0" borderId="21" xfId="6" applyNumberFormat="1" applyBorder="1"/>
    <xf numFmtId="10" fontId="21" fillId="0" borderId="21" xfId="6" applyNumberFormat="1" applyBorder="1"/>
    <xf numFmtId="0" fontId="21" fillId="0" borderId="22" xfId="6" applyBorder="1"/>
    <xf numFmtId="0" fontId="21" fillId="0" borderId="23" xfId="6" applyBorder="1"/>
    <xf numFmtId="181" fontId="21" fillId="0" borderId="24" xfId="6" applyNumberFormat="1" applyBorder="1"/>
    <xf numFmtId="173" fontId="21" fillId="0" borderId="21" xfId="6" applyNumberFormat="1" applyBorder="1"/>
    <xf numFmtId="10" fontId="21" fillId="0" borderId="0" xfId="6" applyNumberFormat="1"/>
    <xf numFmtId="0" fontId="0" fillId="0" borderId="0" xfId="0" applyBorder="1"/>
    <xf numFmtId="6" fontId="7" fillId="0" borderId="0" xfId="0" applyNumberFormat="1" applyFont="1"/>
    <xf numFmtId="0" fontId="14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6" fontId="7" fillId="0" borderId="0" xfId="0" applyNumberFormat="1" applyFont="1" applyFill="1" applyBorder="1"/>
    <xf numFmtId="6" fontId="0" fillId="0" borderId="0" xfId="0" applyNumberFormat="1" applyFill="1" applyBorder="1"/>
    <xf numFmtId="183" fontId="23" fillId="0" borderId="0" xfId="6" applyNumberFormat="1" applyFont="1"/>
    <xf numFmtId="164" fontId="25" fillId="0" borderId="0" xfId="7" applyNumberFormat="1" applyFont="1"/>
    <xf numFmtId="0" fontId="21" fillId="9" borderId="0" xfId="6" applyFill="1"/>
    <xf numFmtId="6" fontId="21" fillId="9" borderId="0" xfId="6" applyNumberFormat="1" applyFill="1"/>
    <xf numFmtId="0" fontId="5" fillId="0" borderId="0" xfId="8"/>
    <xf numFmtId="0" fontId="5" fillId="0" borderId="0" xfId="8" applyAlignment="1">
      <alignment horizontal="center"/>
    </xf>
    <xf numFmtId="0" fontId="20" fillId="8" borderId="0" xfId="8" applyFont="1" applyFill="1"/>
    <xf numFmtId="0" fontId="20" fillId="0" borderId="0" xfId="8" applyFont="1"/>
    <xf numFmtId="0" fontId="20" fillId="8" borderId="0" xfId="8" applyFont="1" applyFill="1" applyAlignment="1">
      <alignment horizontal="center"/>
    </xf>
    <xf numFmtId="6" fontId="5" fillId="0" borderId="0" xfId="8" applyNumberFormat="1"/>
    <xf numFmtId="8" fontId="5" fillId="0" borderId="0" xfId="8" applyNumberFormat="1" applyAlignment="1">
      <alignment horizontal="center"/>
    </xf>
    <xf numFmtId="0" fontId="5" fillId="0" borderId="0" xfId="8" applyAlignment="1">
      <alignment horizontal="left"/>
    </xf>
    <xf numFmtId="0" fontId="27" fillId="0" borderId="0" xfId="8" applyFont="1" applyAlignment="1">
      <alignment horizontal="left"/>
    </xf>
    <xf numFmtId="0" fontId="5" fillId="0" borderId="2" xfId="8" applyBorder="1"/>
    <xf numFmtId="6" fontId="5" fillId="0" borderId="2" xfId="8" applyNumberFormat="1" applyBorder="1"/>
    <xf numFmtId="0" fontId="5" fillId="0" borderId="2" xfId="8" applyBorder="1" applyAlignment="1">
      <alignment horizontal="center"/>
    </xf>
    <xf numFmtId="0" fontId="5" fillId="0" borderId="2" xfId="8" applyBorder="1" applyAlignment="1">
      <alignment horizontal="left"/>
    </xf>
    <xf numFmtId="0" fontId="19" fillId="0" borderId="0" xfId="8" applyFont="1"/>
    <xf numFmtId="0" fontId="28" fillId="0" borderId="0" xfId="8" applyFont="1"/>
    <xf numFmtId="0" fontId="29" fillId="0" borderId="0" xfId="8" applyFont="1"/>
    <xf numFmtId="9" fontId="28" fillId="0" borderId="0" xfId="8" applyNumberFormat="1" applyFont="1"/>
    <xf numFmtId="0" fontId="27" fillId="0" borderId="0" xfId="8" applyFont="1"/>
    <xf numFmtId="180" fontId="20" fillId="8" borderId="0" xfId="8" applyNumberFormat="1" applyFont="1" applyFill="1" applyAlignment="1">
      <alignment horizontal="center"/>
    </xf>
    <xf numFmtId="9" fontId="5" fillId="0" borderId="0" xfId="8" applyNumberFormat="1" applyAlignment="1">
      <alignment horizontal="center"/>
    </xf>
    <xf numFmtId="8" fontId="5" fillId="0" borderId="0" xfId="8" applyNumberFormat="1"/>
    <xf numFmtId="0" fontId="5" fillId="0" borderId="17" xfId="8" applyBorder="1"/>
    <xf numFmtId="0" fontId="5" fillId="0" borderId="18" xfId="8" applyBorder="1"/>
    <xf numFmtId="6" fontId="5" fillId="0" borderId="19" xfId="8" applyNumberFormat="1" applyBorder="1"/>
    <xf numFmtId="0" fontId="5" fillId="0" borderId="20" xfId="8" applyBorder="1"/>
    <xf numFmtId="6" fontId="5" fillId="0" borderId="21" xfId="8" applyNumberFormat="1" applyBorder="1"/>
    <xf numFmtId="173" fontId="5" fillId="0" borderId="21" xfId="8" applyNumberFormat="1" applyBorder="1"/>
    <xf numFmtId="0" fontId="5" fillId="0" borderId="22" xfId="8" applyBorder="1"/>
    <xf numFmtId="0" fontId="5" fillId="0" borderId="23" xfId="8" applyBorder="1"/>
    <xf numFmtId="181" fontId="5" fillId="0" borderId="24" xfId="8" applyNumberFormat="1" applyBorder="1"/>
    <xf numFmtId="10" fontId="5" fillId="0" borderId="21" xfId="8" applyNumberFormat="1" applyBorder="1"/>
    <xf numFmtId="0" fontId="11" fillId="8" borderId="0" xfId="8" applyFont="1" applyFill="1"/>
    <xf numFmtId="10" fontId="20" fillId="0" borderId="0" xfId="8" applyNumberFormat="1" applyFont="1"/>
    <xf numFmtId="10" fontId="5" fillId="0" borderId="0" xfId="8" applyNumberFormat="1"/>
    <xf numFmtId="10" fontId="5" fillId="0" borderId="3" xfId="8" applyNumberFormat="1" applyBorder="1" applyAlignment="1">
      <alignment horizontal="center"/>
    </xf>
    <xf numFmtId="10" fontId="5" fillId="0" borderId="2" xfId="8" applyNumberFormat="1" applyBorder="1" applyAlignment="1">
      <alignment horizontal="center"/>
    </xf>
    <xf numFmtId="10" fontId="5" fillId="0" borderId="31" xfId="8" applyNumberFormat="1" applyBorder="1" applyAlignment="1">
      <alignment horizontal="center"/>
    </xf>
    <xf numFmtId="10" fontId="5" fillId="0" borderId="32" xfId="8" applyNumberFormat="1" applyBorder="1" applyAlignment="1">
      <alignment horizontal="center"/>
    </xf>
    <xf numFmtId="10" fontId="5" fillId="0" borderId="33" xfId="8" applyNumberFormat="1" applyBorder="1" applyAlignment="1">
      <alignment horizontal="center"/>
    </xf>
    <xf numFmtId="10" fontId="5" fillId="0" borderId="34" xfId="8" applyNumberFormat="1" applyBorder="1" applyAlignment="1">
      <alignment horizontal="center"/>
    </xf>
    <xf numFmtId="10" fontId="5" fillId="0" borderId="35" xfId="8" applyNumberFormat="1" applyBorder="1" applyAlignment="1">
      <alignment horizontal="center"/>
    </xf>
    <xf numFmtId="10" fontId="5" fillId="0" borderId="1" xfId="8" applyNumberFormat="1" applyBorder="1" applyAlignment="1">
      <alignment horizontal="center"/>
    </xf>
    <xf numFmtId="10" fontId="5" fillId="0" borderId="4" xfId="8" applyNumberFormat="1" applyBorder="1" applyAlignment="1">
      <alignment horizontal="center"/>
    </xf>
    <xf numFmtId="164" fontId="11" fillId="0" borderId="0" xfId="9" applyNumberFormat="1" applyFont="1"/>
    <xf numFmtId="173" fontId="28" fillId="3" borderId="0" xfId="8" applyNumberFormat="1" applyFont="1" applyFill="1"/>
    <xf numFmtId="164" fontId="28" fillId="0" borderId="0" xfId="9" applyNumberFormat="1" applyFont="1" applyFill="1"/>
    <xf numFmtId="6" fontId="5" fillId="0" borderId="0" xfId="8" applyNumberFormat="1" applyFill="1"/>
    <xf numFmtId="164" fontId="11" fillId="0" borderId="0" xfId="8" applyNumberFormat="1" applyFont="1"/>
    <xf numFmtId="0" fontId="5" fillId="0" borderId="0" xfId="8" applyBorder="1"/>
    <xf numFmtId="164" fontId="5" fillId="0" borderId="0" xfId="8" applyNumberFormat="1"/>
    <xf numFmtId="9" fontId="5" fillId="0" borderId="0" xfId="8" applyNumberFormat="1"/>
    <xf numFmtId="164" fontId="5" fillId="0" borderId="0" xfId="2" applyNumberFormat="1" applyFont="1"/>
    <xf numFmtId="6" fontId="12" fillId="3" borderId="0" xfId="8" applyNumberFormat="1" applyFont="1" applyFill="1"/>
    <xf numFmtId="0" fontId="12" fillId="0" borderId="0" xfId="8" applyFont="1"/>
    <xf numFmtId="0" fontId="20" fillId="0" borderId="0" xfId="8" applyFont="1" applyFill="1" applyBorder="1"/>
    <xf numFmtId="0" fontId="5" fillId="0" borderId="0" xfId="8" applyFill="1" applyBorder="1"/>
    <xf numFmtId="6" fontId="5" fillId="0" borderId="0" xfId="8" applyNumberFormat="1" applyFill="1" applyBorder="1"/>
    <xf numFmtId="182" fontId="28" fillId="0" borderId="0" xfId="8" applyNumberFormat="1" applyFont="1" applyFill="1" applyBorder="1" applyAlignment="1">
      <alignment horizontal="center"/>
    </xf>
    <xf numFmtId="8" fontId="5" fillId="0" borderId="0" xfId="8" applyNumberFormat="1" applyFill="1" applyBorder="1" applyAlignment="1">
      <alignment horizontal="left"/>
    </xf>
    <xf numFmtId="37" fontId="30" fillId="10" borderId="0" xfId="0" applyNumberFormat="1" applyFont="1" applyFill="1" applyBorder="1" applyAlignment="1">
      <alignment vertical="center"/>
    </xf>
    <xf numFmtId="0" fontId="14" fillId="0" borderId="0" xfId="8" applyFont="1"/>
    <xf numFmtId="164" fontId="21" fillId="0" borderId="0" xfId="6" applyNumberFormat="1"/>
    <xf numFmtId="9" fontId="31" fillId="0" borderId="0" xfId="6" applyNumberFormat="1" applyFont="1"/>
    <xf numFmtId="164" fontId="25" fillId="0" borderId="0" xfId="2" applyNumberFormat="1" applyFont="1"/>
    <xf numFmtId="0" fontId="5" fillId="0" borderId="0" xfId="8" applyAlignment="1">
      <alignment horizontal="center"/>
    </xf>
    <xf numFmtId="169" fontId="0" fillId="0" borderId="0" xfId="0" applyNumberFormat="1" applyBorder="1"/>
    <xf numFmtId="0" fontId="0" fillId="0" borderId="0" xfId="0" applyFill="1" applyAlignment="1">
      <alignment horizontal="left" indent="1"/>
    </xf>
    <xf numFmtId="0" fontId="0" fillId="0" borderId="0" xfId="0" applyFill="1"/>
    <xf numFmtId="169" fontId="0" fillId="0" borderId="0" xfId="0" applyNumberFormat="1" applyFill="1"/>
    <xf numFmtId="1" fontId="0" fillId="0" borderId="0" xfId="2" applyNumberFormat="1" applyFont="1" applyAlignment="1">
      <alignment horizontal="center"/>
    </xf>
    <xf numFmtId="169" fontId="0" fillId="0" borderId="0" xfId="0" applyNumberFormat="1" applyFill="1" applyBorder="1"/>
    <xf numFmtId="169" fontId="0" fillId="0" borderId="2" xfId="0" applyNumberFormat="1" applyFill="1" applyBorder="1"/>
    <xf numFmtId="0" fontId="32" fillId="8" borderId="6" xfId="0" applyFont="1" applyFill="1" applyBorder="1"/>
    <xf numFmtId="0" fontId="33" fillId="8" borderId="6" xfId="0" applyFont="1" applyFill="1" applyBorder="1"/>
    <xf numFmtId="0" fontId="33" fillId="8" borderId="6" xfId="0" applyFont="1" applyFill="1" applyBorder="1" applyAlignment="1">
      <alignment horizontal="center"/>
    </xf>
    <xf numFmtId="14" fontId="0" fillId="0" borderId="0" xfId="0" applyNumberFormat="1" applyBorder="1"/>
    <xf numFmtId="172" fontId="0" fillId="0" borderId="0" xfId="0" applyNumberFormat="1" applyBorder="1"/>
    <xf numFmtId="9" fontId="0" fillId="0" borderId="0" xfId="0" applyNumberFormat="1" applyBorder="1"/>
    <xf numFmtId="172" fontId="15" fillId="0" borderId="0" xfId="0" applyNumberFormat="1" applyFont="1" applyFill="1" applyBorder="1"/>
    <xf numFmtId="169" fontId="14" fillId="0" borderId="0" xfId="0" applyNumberFormat="1" applyFont="1" applyFill="1" applyBorder="1"/>
    <xf numFmtId="1" fontId="0" fillId="0" borderId="0" xfId="0" applyNumberFormat="1"/>
    <xf numFmtId="1" fontId="12" fillId="0" borderId="0" xfId="2" applyNumberFormat="1" applyFont="1" applyFill="1"/>
    <xf numFmtId="173" fontId="13" fillId="0" borderId="0" xfId="0" applyNumberFormat="1" applyFont="1"/>
    <xf numFmtId="0" fontId="34" fillId="8" borderId="0" xfId="0" applyFont="1" applyFill="1"/>
    <xf numFmtId="0" fontId="33" fillId="8" borderId="0" xfId="0" applyFont="1" applyFill="1" applyAlignment="1">
      <alignment horizontal="center"/>
    </xf>
    <xf numFmtId="0" fontId="33" fillId="8" borderId="0" xfId="0" applyFont="1" applyFill="1"/>
    <xf numFmtId="6" fontId="0" fillId="0" borderId="0" xfId="0" applyNumberFormat="1" applyFill="1" applyAlignment="1">
      <alignment horizontal="center"/>
    </xf>
    <xf numFmtId="0" fontId="33" fillId="11" borderId="0" xfId="0" applyFont="1" applyFill="1" applyAlignment="1">
      <alignment horizontal="center"/>
    </xf>
    <xf numFmtId="0" fontId="33" fillId="11" borderId="0" xfId="0" applyFont="1" applyFill="1"/>
    <xf numFmtId="0" fontId="35" fillId="11" borderId="0" xfId="0" applyFont="1" applyFill="1"/>
    <xf numFmtId="0" fontId="7" fillId="11" borderId="0" xfId="0" applyFont="1" applyFill="1"/>
    <xf numFmtId="0" fontId="10" fillId="11" borderId="6" xfId="0" applyFont="1" applyFill="1" applyBorder="1"/>
    <xf numFmtId="0" fontId="7" fillId="11" borderId="6" xfId="0" applyFont="1" applyFill="1" applyBorder="1"/>
    <xf numFmtId="0" fontId="7" fillId="11" borderId="6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7" xfId="0" applyFont="1" applyFill="1" applyBorder="1" applyAlignment="1">
      <alignment horizontal="center"/>
    </xf>
    <xf numFmtId="0" fontId="10" fillId="11" borderId="7" xfId="0" applyFont="1" applyFill="1" applyBorder="1"/>
    <xf numFmtId="0" fontId="7" fillId="11" borderId="7" xfId="0" applyFont="1" applyFill="1" applyBorder="1"/>
    <xf numFmtId="0" fontId="7" fillId="0" borderId="0" xfId="0" applyFont="1" applyFill="1"/>
    <xf numFmtId="9" fontId="7" fillId="0" borderId="0" xfId="0" applyNumberFormat="1" applyFont="1" applyFill="1"/>
    <xf numFmtId="0" fontId="32" fillId="8" borderId="7" xfId="0" applyFont="1" applyFill="1" applyBorder="1"/>
    <xf numFmtId="0" fontId="33" fillId="8" borderId="7" xfId="0" applyFont="1" applyFill="1" applyBorder="1"/>
    <xf numFmtId="0" fontId="33" fillId="8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74" fontId="36" fillId="0" borderId="11" xfId="0" applyNumberFormat="1" applyFont="1" applyBorder="1"/>
    <xf numFmtId="6" fontId="0" fillId="0" borderId="5" xfId="0" applyNumberFormat="1" applyBorder="1"/>
    <xf numFmtId="0" fontId="8" fillId="0" borderId="0" xfId="0" applyFont="1"/>
    <xf numFmtId="184" fontId="0" fillId="0" borderId="0" xfId="0" applyNumberFormat="1" applyAlignment="1">
      <alignment horizontal="center"/>
    </xf>
    <xf numFmtId="0" fontId="7" fillId="0" borderId="0" xfId="0" applyFont="1" applyFill="1" applyAlignment="1">
      <alignment horizontal="left" indent="1"/>
    </xf>
    <xf numFmtId="9" fontId="0" fillId="0" borderId="5" xfId="0" applyNumberFormat="1" applyBorder="1"/>
    <xf numFmtId="9" fontId="13" fillId="3" borderId="5" xfId="0" applyNumberFormat="1" applyFont="1" applyFill="1" applyBorder="1"/>
    <xf numFmtId="164" fontId="25" fillId="0" borderId="0" xfId="6" applyNumberFormat="1" applyFont="1" applyFill="1"/>
    <xf numFmtId="9" fontId="25" fillId="0" borderId="0" xfId="6" applyNumberFormat="1" applyFont="1"/>
    <xf numFmtId="0" fontId="21" fillId="0" borderId="0" xfId="6" applyAlignment="1">
      <alignment horizontal="center"/>
    </xf>
    <xf numFmtId="0" fontId="24" fillId="0" borderId="0" xfId="6" applyFont="1" applyAlignment="1">
      <alignment horizontal="center"/>
    </xf>
    <xf numFmtId="6" fontId="25" fillId="0" borderId="0" xfId="6" applyNumberFormat="1" applyFont="1" applyFill="1"/>
    <xf numFmtId="9" fontId="31" fillId="0" borderId="0" xfId="6" applyNumberFormat="1" applyFont="1" applyAlignment="1">
      <alignment horizontal="center"/>
    </xf>
    <xf numFmtId="0" fontId="31" fillId="0" borderId="0" xfId="6" applyFont="1"/>
    <xf numFmtId="183" fontId="31" fillId="0" borderId="0" xfId="6" applyNumberFormat="1" applyFont="1"/>
    <xf numFmtId="0" fontId="21" fillId="0" borderId="0" xfId="6" applyFill="1"/>
    <xf numFmtId="9" fontId="23" fillId="0" borderId="0" xfId="6" applyNumberFormat="1" applyFont="1" applyFill="1"/>
    <xf numFmtId="9" fontId="37" fillId="12" borderId="34" xfId="0" applyNumberFormat="1" applyFont="1" applyFill="1" applyBorder="1" applyAlignment="1">
      <alignment horizontal="center"/>
    </xf>
    <xf numFmtId="185" fontId="37" fillId="0" borderId="34" xfId="0" applyNumberFormat="1" applyFont="1" applyBorder="1" applyAlignment="1">
      <alignment horizontal="center"/>
    </xf>
    <xf numFmtId="0" fontId="37" fillId="12" borderId="34" xfId="0" applyFont="1" applyFill="1" applyBorder="1" applyAlignment="1">
      <alignment horizontal="center"/>
    </xf>
    <xf numFmtId="9" fontId="37" fillId="0" borderId="34" xfId="10" applyFont="1" applyBorder="1" applyAlignment="1">
      <alignment horizontal="center"/>
    </xf>
    <xf numFmtId="186" fontId="37" fillId="12" borderId="34" xfId="0" applyNumberFormat="1" applyFont="1" applyFill="1" applyBorder="1" applyAlignment="1">
      <alignment horizontal="center"/>
    </xf>
    <xf numFmtId="10" fontId="38" fillId="0" borderId="34" xfId="0" applyNumberFormat="1" applyFont="1" applyBorder="1" applyAlignment="1">
      <alignment horizontal="center"/>
    </xf>
    <xf numFmtId="0" fontId="21" fillId="0" borderId="0" xfId="6" applyAlignment="1">
      <alignment horizontal="right"/>
    </xf>
    <xf numFmtId="0" fontId="37" fillId="0" borderId="0" xfId="0" applyFont="1" applyAlignment="1">
      <alignment horizontal="right"/>
    </xf>
    <xf numFmtId="8" fontId="21" fillId="0" borderId="0" xfId="6" applyNumberFormat="1" applyAlignment="1">
      <alignment horizontal="right"/>
    </xf>
    <xf numFmtId="180" fontId="22" fillId="8" borderId="0" xfId="6" applyNumberFormat="1" applyFont="1" applyFill="1" applyAlignment="1">
      <alignment horizontal="right"/>
    </xf>
    <xf numFmtId="9" fontId="26" fillId="0" borderId="0" xfId="6" applyNumberFormat="1" applyFont="1" applyAlignment="1">
      <alignment horizontal="right"/>
    </xf>
    <xf numFmtId="9" fontId="21" fillId="0" borderId="0" xfId="6" applyNumberFormat="1" applyAlignment="1">
      <alignment horizontal="right"/>
    </xf>
    <xf numFmtId="6" fontId="21" fillId="0" borderId="0" xfId="6" applyNumberFormat="1" applyAlignment="1">
      <alignment horizontal="right"/>
    </xf>
    <xf numFmtId="6" fontId="21" fillId="0" borderId="2" xfId="6" applyNumberFormat="1" applyBorder="1" applyAlignment="1">
      <alignment horizontal="right"/>
    </xf>
    <xf numFmtId="6" fontId="21" fillId="0" borderId="1" xfId="6" applyNumberFormat="1" applyBorder="1" applyAlignment="1">
      <alignment horizontal="right"/>
    </xf>
    <xf numFmtId="6" fontId="21" fillId="9" borderId="0" xfId="6" applyNumberFormat="1" applyFill="1" applyAlignment="1">
      <alignment horizontal="right"/>
    </xf>
    <xf numFmtId="0" fontId="22" fillId="8" borderId="0" xfId="6" applyFont="1" applyFill="1" applyAlignment="1">
      <alignment horizontal="right"/>
    </xf>
    <xf numFmtId="10" fontId="21" fillId="0" borderId="0" xfId="6" applyNumberFormat="1" applyAlignment="1">
      <alignment horizontal="right"/>
    </xf>
    <xf numFmtId="43" fontId="0" fillId="0" borderId="0" xfId="7" applyFont="1" applyAlignment="1">
      <alignment horizontal="right"/>
    </xf>
    <xf numFmtId="6" fontId="0" fillId="0" borderId="2" xfId="0" applyNumberFormat="1" applyBorder="1" applyAlignment="1">
      <alignment horizontal="center"/>
    </xf>
    <xf numFmtId="9" fontId="25" fillId="0" borderId="0" xfId="6" applyNumberFormat="1" applyFont="1" applyFill="1"/>
    <xf numFmtId="173" fontId="7" fillId="0" borderId="0" xfId="0" applyNumberFormat="1" applyFont="1"/>
    <xf numFmtId="9" fontId="4" fillId="0" borderId="8" xfId="0" applyNumberFormat="1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173" fontId="7" fillId="0" borderId="0" xfId="0" applyNumberFormat="1" applyFont="1" applyAlignment="1">
      <alignment horizontal="center"/>
    </xf>
    <xf numFmtId="173" fontId="13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6" fontId="0" fillId="0" borderId="0" xfId="0" applyNumberFormat="1" applyAlignment="1">
      <alignment horizontal="center"/>
    </xf>
    <xf numFmtId="0" fontId="25" fillId="11" borderId="0" xfId="6" applyFont="1" applyFill="1"/>
    <xf numFmtId="180" fontId="25" fillId="11" borderId="0" xfId="6" applyNumberFormat="1" applyFont="1" applyFill="1" applyAlignment="1">
      <alignment horizontal="center"/>
    </xf>
    <xf numFmtId="0" fontId="22" fillId="11" borderId="0" xfId="6" applyFont="1" applyFill="1"/>
    <xf numFmtId="0" fontId="11" fillId="11" borderId="0" xfId="8" applyFont="1" applyFill="1"/>
    <xf numFmtId="0" fontId="11" fillId="11" borderId="0" xfId="8" applyFont="1" applyFill="1" applyAlignment="1">
      <alignment horizontal="center"/>
    </xf>
    <xf numFmtId="180" fontId="11" fillId="11" borderId="0" xfId="8" applyNumberFormat="1" applyFont="1" applyFill="1" applyAlignment="1">
      <alignment horizontal="center"/>
    </xf>
    <xf numFmtId="179" fontId="25" fillId="11" borderId="0" xfId="6" applyNumberFormat="1" applyFont="1" applyFill="1" applyAlignment="1">
      <alignment horizontal="center"/>
    </xf>
    <xf numFmtId="0" fontId="8" fillId="0" borderId="0" xfId="1" applyFont="1" applyBorder="1" applyAlignment="1">
      <alignment horizontal="left"/>
    </xf>
    <xf numFmtId="0" fontId="7" fillId="0" borderId="0" xfId="1" applyFont="1" applyBorder="1" applyAlignment="1">
      <alignment horizontal="center"/>
    </xf>
    <xf numFmtId="0" fontId="7" fillId="0" borderId="0" xfId="1" applyFont="1" applyFill="1" applyBorder="1"/>
    <xf numFmtId="0" fontId="7" fillId="0" borderId="0" xfId="1" applyFont="1" applyFill="1" applyBorder="1" applyAlignment="1"/>
    <xf numFmtId="0" fontId="8" fillId="2" borderId="0" xfId="1" applyFont="1" applyFill="1" applyBorder="1" applyAlignment="1">
      <alignment horizontal="left"/>
    </xf>
    <xf numFmtId="0" fontId="7" fillId="2" borderId="0" xfId="1" applyFont="1" applyFill="1" applyBorder="1"/>
    <xf numFmtId="0" fontId="8" fillId="0" borderId="0" xfId="1" applyFont="1" applyBorder="1" applyAlignment="1">
      <alignment horizontal="right" vertical="center"/>
    </xf>
    <xf numFmtId="0" fontId="8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vertical="center"/>
    </xf>
    <xf numFmtId="0" fontId="7" fillId="0" borderId="0" xfId="1" applyFont="1" applyBorder="1"/>
    <xf numFmtId="0" fontId="8" fillId="0" borderId="0" xfId="1" applyFont="1" applyBorder="1"/>
    <xf numFmtId="0" fontId="41" fillId="0" borderId="0" xfId="1" applyFont="1" applyBorder="1" applyAlignment="1">
      <alignment vertical="center"/>
    </xf>
    <xf numFmtId="0" fontId="39" fillId="13" borderId="0" xfId="1" applyFont="1" applyFill="1" applyBorder="1" applyAlignment="1">
      <alignment vertical="center"/>
    </xf>
    <xf numFmtId="0" fontId="33" fillId="13" borderId="0" xfId="1" applyFont="1" applyFill="1" applyBorder="1" applyAlignment="1">
      <alignment vertical="center"/>
    </xf>
    <xf numFmtId="0" fontId="39" fillId="13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/>
    </xf>
    <xf numFmtId="0" fontId="7" fillId="0" borderId="0" xfId="1" applyFont="1" applyBorder="1" applyAlignment="1">
      <alignment horizontal="right"/>
    </xf>
    <xf numFmtId="44" fontId="7" fillId="0" borderId="0" xfId="1" applyNumberFormat="1" applyFont="1" applyFill="1" applyBorder="1"/>
    <xf numFmtId="0" fontId="8" fillId="0" borderId="0" xfId="1" applyFont="1" applyBorder="1" applyAlignment="1">
      <alignment horizontal="right"/>
    </xf>
    <xf numFmtId="0" fontId="8" fillId="0" borderId="0" xfId="1" applyFont="1" applyFill="1" applyBorder="1"/>
    <xf numFmtId="0" fontId="7" fillId="0" borderId="0" xfId="1" applyFont="1" applyBorder="1" applyAlignment="1">
      <alignment wrapText="1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7" fillId="0" borderId="0" xfId="1" applyFont="1" applyBorder="1" applyAlignment="1">
      <alignment horizontal="right"/>
    </xf>
    <xf numFmtId="0" fontId="7" fillId="0" borderId="0" xfId="1" applyFont="1" applyBorder="1" applyAlignment="1"/>
    <xf numFmtId="0" fontId="8" fillId="0" borderId="0" xfId="1" applyFont="1" applyBorder="1" applyAlignment="1">
      <alignment horizontal="left"/>
    </xf>
    <xf numFmtId="0" fontId="8" fillId="0" borderId="2" xfId="1" applyFont="1" applyBorder="1" applyAlignment="1">
      <alignment horizontal="left"/>
    </xf>
    <xf numFmtId="0" fontId="8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39" fillId="13" borderId="0" xfId="1" applyFont="1" applyFill="1" applyBorder="1" applyAlignment="1">
      <alignment vertical="center"/>
    </xf>
    <xf numFmtId="0" fontId="8" fillId="0" borderId="0" xfId="1" applyFont="1" applyBorder="1" applyAlignment="1">
      <alignment horizontal="right"/>
    </xf>
    <xf numFmtId="0" fontId="7" fillId="0" borderId="0" xfId="1" applyFont="1" applyFill="1" applyBorder="1" applyAlignment="1"/>
    <xf numFmtId="0" fontId="8" fillId="0" borderId="0" xfId="1" applyFont="1" applyFill="1" applyBorder="1" applyAlignment="1">
      <alignment horizontal="center"/>
    </xf>
    <xf numFmtId="0" fontId="39" fillId="0" borderId="0" xfId="1" applyFont="1" applyFill="1" applyBorder="1" applyAlignment="1">
      <alignment horizontal="center"/>
    </xf>
    <xf numFmtId="0" fontId="39" fillId="0" borderId="0" xfId="1" applyFont="1" applyFill="1" applyBorder="1" applyAlignment="1">
      <alignment vertical="center"/>
    </xf>
    <xf numFmtId="0" fontId="33" fillId="0" borderId="0" xfId="1" applyFont="1" applyFill="1" applyBorder="1" applyAlignment="1">
      <alignment vertical="center"/>
    </xf>
    <xf numFmtId="0" fontId="39" fillId="0" borderId="0" xfId="1" applyFont="1" applyFill="1" applyBorder="1" applyAlignment="1">
      <alignment horizontal="right" vertical="center"/>
    </xf>
    <xf numFmtId="0" fontId="39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vertical="center"/>
    </xf>
    <xf numFmtId="0" fontId="33" fillId="8" borderId="5" xfId="1" applyFont="1" applyFill="1" applyBorder="1"/>
    <xf numFmtId="0" fontId="7" fillId="11" borderId="5" xfId="1" applyFont="1" applyFill="1" applyBorder="1"/>
    <xf numFmtId="0" fontId="39" fillId="0" borderId="0" xfId="1" applyFont="1" applyFill="1" applyBorder="1" applyAlignment="1">
      <alignment horizontal="center" vertical="center"/>
    </xf>
    <xf numFmtId="184" fontId="8" fillId="0" borderId="0" xfId="1" applyNumberFormat="1" applyFont="1" applyBorder="1" applyAlignment="1">
      <alignment horizontal="center"/>
    </xf>
    <xf numFmtId="0" fontId="39" fillId="13" borderId="0" xfId="1" applyFont="1" applyFill="1" applyBorder="1" applyAlignment="1">
      <alignment horizontal="left" vertical="center"/>
    </xf>
    <xf numFmtId="0" fontId="8" fillId="11" borderId="5" xfId="1" applyFont="1" applyFill="1" applyBorder="1" applyAlignment="1">
      <alignment horizontal="left"/>
    </xf>
    <xf numFmtId="0" fontId="39" fillId="8" borderId="5" xfId="1" applyFont="1" applyFill="1" applyBorder="1" applyAlignment="1">
      <alignment horizontal="left"/>
    </xf>
    <xf numFmtId="0" fontId="8" fillId="0" borderId="41" xfId="1" applyFont="1" applyBorder="1" applyAlignment="1">
      <alignment horizontal="left"/>
    </xf>
    <xf numFmtId="0" fontId="8" fillId="0" borderId="41" xfId="1" applyFont="1" applyBorder="1" applyAlignment="1">
      <alignment horizontal="right"/>
    </xf>
    <xf numFmtId="166" fontId="7" fillId="0" borderId="0" xfId="1" applyNumberFormat="1" applyFont="1" applyBorder="1"/>
    <xf numFmtId="166" fontId="7" fillId="0" borderId="0" xfId="1" applyNumberFormat="1" applyFont="1" applyBorder="1" applyAlignment="1">
      <alignment horizontal="center"/>
    </xf>
    <xf numFmtId="166" fontId="7" fillId="0" borderId="0" xfId="1" applyNumberFormat="1" applyFont="1" applyFill="1" applyBorder="1"/>
    <xf numFmtId="166" fontId="7" fillId="0" borderId="0" xfId="1" applyNumberFormat="1" applyFont="1" applyBorder="1" applyAlignment="1"/>
    <xf numFmtId="166" fontId="7" fillId="0" borderId="2" xfId="1" applyNumberFormat="1" applyFont="1" applyFill="1" applyBorder="1"/>
    <xf numFmtId="166" fontId="7" fillId="2" borderId="0" xfId="1" applyNumberFormat="1" applyFont="1" applyFill="1" applyBorder="1" applyAlignment="1">
      <alignment horizontal="center"/>
    </xf>
    <xf numFmtId="166" fontId="7" fillId="2" borderId="0" xfId="1" applyNumberFormat="1" applyFont="1" applyFill="1" applyBorder="1"/>
    <xf numFmtId="166" fontId="7" fillId="2" borderId="0" xfId="1" applyNumberFormat="1" applyFont="1" applyFill="1" applyBorder="1" applyAlignment="1"/>
    <xf numFmtId="166" fontId="8" fillId="0" borderId="0" xfId="1" applyNumberFormat="1" applyFont="1" applyBorder="1" applyAlignment="1">
      <alignment horizontal="center"/>
    </xf>
    <xf numFmtId="166" fontId="7" fillId="0" borderId="0" xfId="1" applyNumberFormat="1" applyFont="1" applyFill="1" applyBorder="1" applyAlignment="1"/>
    <xf numFmtId="166" fontId="7" fillId="0" borderId="41" xfId="1" applyNumberFormat="1" applyFont="1" applyFill="1" applyBorder="1"/>
    <xf numFmtId="9" fontId="8" fillId="0" borderId="0" xfId="1" applyNumberFormat="1" applyFont="1" applyBorder="1"/>
    <xf numFmtId="173" fontId="7" fillId="0" borderId="0" xfId="1" applyNumberFormat="1" applyFont="1" applyBorder="1" applyAlignment="1">
      <alignment horizontal="center"/>
    </xf>
    <xf numFmtId="0" fontId="39" fillId="8" borderId="36" xfId="1" applyFont="1" applyFill="1" applyBorder="1" applyAlignment="1">
      <alignment horizontal="left"/>
    </xf>
    <xf numFmtId="0" fontId="39" fillId="8" borderId="37" xfId="1" applyFont="1" applyFill="1" applyBorder="1" applyAlignment="1">
      <alignment horizontal="left"/>
    </xf>
    <xf numFmtId="0" fontId="39" fillId="8" borderId="38" xfId="1" applyFont="1" applyFill="1" applyBorder="1" applyAlignment="1">
      <alignment horizontal="left"/>
    </xf>
    <xf numFmtId="0" fontId="39" fillId="8" borderId="36" xfId="1" applyFont="1" applyFill="1" applyBorder="1" applyAlignment="1"/>
    <xf numFmtId="0" fontId="39" fillId="8" borderId="37" xfId="1" applyFont="1" applyFill="1" applyBorder="1" applyAlignment="1"/>
    <xf numFmtId="0" fontId="39" fillId="8" borderId="38" xfId="1" applyFont="1" applyFill="1" applyBorder="1" applyAlignment="1"/>
    <xf numFmtId="0" fontId="8" fillId="11" borderId="36" xfId="1" applyFont="1" applyFill="1" applyBorder="1" applyAlignment="1">
      <alignment horizontal="left"/>
    </xf>
    <xf numFmtId="0" fontId="8" fillId="11" borderId="37" xfId="1" applyFont="1" applyFill="1" applyBorder="1" applyAlignment="1">
      <alignment horizontal="left"/>
    </xf>
    <xf numFmtId="0" fontId="8" fillId="11" borderId="38" xfId="1" applyFont="1" applyFill="1" applyBorder="1" applyAlignment="1">
      <alignment horizontal="left"/>
    </xf>
    <xf numFmtId="6" fontId="7" fillId="0" borderId="0" xfId="1" applyNumberFormat="1" applyFont="1" applyFill="1" applyBorder="1"/>
    <xf numFmtId="187" fontId="7" fillId="0" borderId="0" xfId="1" applyNumberFormat="1" applyFont="1" applyBorder="1" applyAlignment="1">
      <alignment horizontal="right"/>
    </xf>
    <xf numFmtId="1" fontId="7" fillId="0" borderId="0" xfId="1" applyNumberFormat="1" applyFont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Border="1" applyAlignment="1"/>
    <xf numFmtId="164" fontId="7" fillId="0" borderId="0" xfId="2" applyNumberFormat="1" applyFont="1" applyBorder="1" applyAlignment="1">
      <alignment horizontal="center"/>
    </xf>
    <xf numFmtId="164" fontId="0" fillId="0" borderId="0" xfId="2" applyNumberFormat="1" applyFont="1" applyBorder="1"/>
    <xf numFmtId="0" fontId="3" fillId="0" borderId="0" xfId="8" applyFont="1"/>
    <xf numFmtId="164" fontId="12" fillId="0" borderId="0" xfId="9" applyNumberFormat="1" applyFont="1"/>
    <xf numFmtId="164" fontId="11" fillId="0" borderId="0" xfId="9" applyNumberFormat="1" applyFont="1" applyFill="1"/>
    <xf numFmtId="188" fontId="7" fillId="0" borderId="0" xfId="1" applyNumberFormat="1" applyFont="1" applyFill="1" applyBorder="1" applyAlignment="1">
      <alignment horizontal="center"/>
    </xf>
    <xf numFmtId="189" fontId="7" fillId="0" borderId="0" xfId="1" applyNumberFormat="1" applyFont="1" applyFill="1" applyBorder="1" applyAlignment="1">
      <alignment horizontal="center"/>
    </xf>
    <xf numFmtId="190" fontId="7" fillId="0" borderId="0" xfId="1" applyNumberFormat="1" applyFont="1" applyFill="1" applyBorder="1" applyAlignment="1">
      <alignment horizontal="center"/>
    </xf>
    <xf numFmtId="5" fontId="7" fillId="0" borderId="0" xfId="1" applyNumberFormat="1" applyFont="1" applyFill="1" applyBorder="1" applyAlignment="1">
      <alignment horizontal="center"/>
    </xf>
    <xf numFmtId="0" fontId="8" fillId="0" borderId="42" xfId="1" applyFont="1" applyBorder="1" applyAlignment="1">
      <alignment horizontal="left" wrapText="1"/>
    </xf>
    <xf numFmtId="0" fontId="7" fillId="0" borderId="42" xfId="1" applyFont="1" applyBorder="1" applyAlignment="1">
      <alignment wrapText="1"/>
    </xf>
    <xf numFmtId="0" fontId="8" fillId="0" borderId="42" xfId="1" applyFont="1" applyBorder="1" applyAlignment="1">
      <alignment horizontal="center" wrapText="1"/>
    </xf>
    <xf numFmtId="9" fontId="7" fillId="0" borderId="0" xfId="0" applyNumberFormat="1" applyFont="1" applyFill="1" applyBorder="1"/>
    <xf numFmtId="164" fontId="0" fillId="0" borderId="0" xfId="2" applyNumberFormat="1" applyFont="1" applyFill="1" applyBorder="1"/>
    <xf numFmtId="0" fontId="7" fillId="0" borderId="0" xfId="0" applyFont="1" applyFill="1" applyBorder="1" applyAlignment="1">
      <alignment horizontal="center"/>
    </xf>
    <xf numFmtId="167" fontId="0" fillId="0" borderId="0" xfId="2" applyNumberFormat="1" applyFont="1" applyFill="1" applyBorder="1"/>
    <xf numFmtId="170" fontId="11" fillId="0" borderId="0" xfId="0" applyNumberFormat="1" applyFont="1" applyFill="1" applyBorder="1"/>
    <xf numFmtId="0" fontId="33" fillId="0" borderId="0" xfId="0" applyFont="1" applyFill="1" applyBorder="1" applyAlignment="1">
      <alignment horizontal="center"/>
    </xf>
    <xf numFmtId="9" fontId="13" fillId="0" borderId="0" xfId="0" applyNumberFormat="1" applyFont="1" applyFill="1" applyBorder="1"/>
    <xf numFmtId="0" fontId="10" fillId="0" borderId="0" xfId="0" applyFont="1" applyFill="1" applyBorder="1"/>
    <xf numFmtId="0" fontId="42" fillId="0" borderId="0" xfId="0" applyFont="1"/>
    <xf numFmtId="192" fontId="45" fillId="0" borderId="0" xfId="0" applyNumberFormat="1" applyFont="1"/>
    <xf numFmtId="9" fontId="45" fillId="0" borderId="0" xfId="0" applyNumberFormat="1" applyFont="1"/>
    <xf numFmtId="191" fontId="45" fillId="0" borderId="0" xfId="0" applyNumberFormat="1" applyFont="1"/>
    <xf numFmtId="173" fontId="45" fillId="0" borderId="0" xfId="0" applyNumberFormat="1" applyFont="1"/>
    <xf numFmtId="165" fontId="45" fillId="0" borderId="0" xfId="2" applyNumberFormat="1" applyFont="1"/>
    <xf numFmtId="173" fontId="42" fillId="0" borderId="0" xfId="0" applyNumberFormat="1" applyFont="1"/>
    <xf numFmtId="0" fontId="42" fillId="0" borderId="0" xfId="0" applyFont="1" applyFill="1" applyBorder="1"/>
    <xf numFmtId="0" fontId="46" fillId="0" borderId="23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1" fontId="7" fillId="0" borderId="0" xfId="2" applyNumberFormat="1" applyFont="1" applyFill="1" applyBorder="1" applyAlignment="1">
      <alignment horizontal="center"/>
    </xf>
    <xf numFmtId="0" fontId="47" fillId="8" borderId="0" xfId="0" applyFont="1" applyFill="1" applyBorder="1"/>
    <xf numFmtId="0" fontId="34" fillId="8" borderId="0" xfId="0" applyFont="1" applyFill="1" applyBorder="1"/>
    <xf numFmtId="0" fontId="34" fillId="8" borderId="0" xfId="0" applyFont="1" applyFill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9" fontId="13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178" fontId="31" fillId="0" borderId="0" xfId="6" applyNumberFormat="1" applyFont="1"/>
    <xf numFmtId="173" fontId="31" fillId="0" borderId="0" xfId="6" applyNumberFormat="1" applyFont="1"/>
    <xf numFmtId="165" fontId="0" fillId="0" borderId="0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9" fontId="43" fillId="0" borderId="0" xfId="0" applyNumberFormat="1" applyFont="1" applyAlignment="1">
      <alignment horizontal="center"/>
    </xf>
    <xf numFmtId="191" fontId="43" fillId="0" borderId="0" xfId="0" applyNumberFormat="1" applyFont="1" applyAlignment="1">
      <alignment horizontal="center"/>
    </xf>
    <xf numFmtId="192" fontId="44" fillId="0" borderId="0" xfId="0" applyNumberFormat="1" applyFont="1" applyAlignment="1">
      <alignment horizontal="center"/>
    </xf>
    <xf numFmtId="191" fontId="44" fillId="0" borderId="0" xfId="0" applyNumberFormat="1" applyFont="1" applyAlignment="1">
      <alignment horizontal="center"/>
    </xf>
    <xf numFmtId="173" fontId="44" fillId="0" borderId="0" xfId="0" applyNumberFormat="1" applyFont="1" applyAlignment="1">
      <alignment horizontal="center"/>
    </xf>
    <xf numFmtId="0" fontId="45" fillId="0" borderId="0" xfId="0" applyFont="1"/>
    <xf numFmtId="167" fontId="0" fillId="0" borderId="0" xfId="0" applyNumberFormat="1" applyAlignment="1"/>
    <xf numFmtId="6" fontId="10" fillId="0" borderId="0" xfId="0" applyNumberFormat="1" applyFont="1" applyFill="1" applyBorder="1" applyAlignment="1">
      <alignment horizontal="center"/>
    </xf>
    <xf numFmtId="6" fontId="11" fillId="0" borderId="0" xfId="0" applyNumberFormat="1" applyFont="1" applyFill="1" applyBorder="1" applyAlignment="1">
      <alignment horizontal="center"/>
    </xf>
    <xf numFmtId="6" fontId="7" fillId="0" borderId="0" xfId="0" applyNumberFormat="1" applyFont="1" applyFill="1" applyBorder="1" applyAlignment="1">
      <alignment horizontal="center"/>
    </xf>
    <xf numFmtId="6" fontId="0" fillId="0" borderId="0" xfId="0" applyNumberForma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6" fontId="7" fillId="0" borderId="0" xfId="0" applyNumberFormat="1" applyFont="1" applyFill="1" applyBorder="1" applyAlignment="1">
      <alignment horizontal="left"/>
    </xf>
    <xf numFmtId="6" fontId="0" fillId="0" borderId="5" xfId="2" applyNumberFormat="1" applyFont="1" applyBorder="1"/>
    <xf numFmtId="0" fontId="48" fillId="11" borderId="0" xfId="0" applyFont="1" applyFill="1" applyBorder="1"/>
    <xf numFmtId="0" fontId="35" fillId="11" borderId="0" xfId="0" applyFont="1" applyFill="1" applyBorder="1"/>
    <xf numFmtId="0" fontId="35" fillId="11" borderId="0" xfId="0" applyFont="1" applyFill="1" applyBorder="1" applyAlignment="1">
      <alignment horizontal="center"/>
    </xf>
    <xf numFmtId="0" fontId="8" fillId="0" borderId="0" xfId="1" applyFont="1" applyBorder="1" applyAlignment="1">
      <alignment horizontal="left"/>
    </xf>
    <xf numFmtId="0" fontId="7" fillId="0" borderId="0" xfId="1" applyFont="1" applyBorder="1" applyAlignment="1">
      <alignment horizontal="left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/>
    <xf numFmtId="0" fontId="8" fillId="0" borderId="0" xfId="1" applyFont="1" applyBorder="1" applyAlignment="1">
      <alignment horizontal="right"/>
    </xf>
    <xf numFmtId="173" fontId="21" fillId="0" borderId="0" xfId="6" applyNumberFormat="1"/>
    <xf numFmtId="9" fontId="21" fillId="0" borderId="2" xfId="6" applyNumberFormat="1" applyBorder="1"/>
    <xf numFmtId="6" fontId="21" fillId="0" borderId="5" xfId="6" applyNumberFormat="1" applyBorder="1"/>
    <xf numFmtId="0" fontId="2" fillId="0" borderId="0" xfId="8" applyFont="1"/>
    <xf numFmtId="9" fontId="11" fillId="0" borderId="0" xfId="8" applyNumberFormat="1" applyFont="1" applyFill="1" applyAlignment="1">
      <alignment horizontal="center"/>
    </xf>
    <xf numFmtId="0" fontId="7" fillId="0" borderId="0" xfId="1" applyFont="1" applyBorder="1" applyAlignment="1">
      <alignment horizontal="right"/>
    </xf>
    <xf numFmtId="0" fontId="7" fillId="0" borderId="0" xfId="1" applyFont="1" applyBorder="1" applyAlignment="1"/>
    <xf numFmtId="0" fontId="7" fillId="0" borderId="0" xfId="1" applyFont="1" applyBorder="1" applyAlignment="1">
      <alignment horizontal="center"/>
    </xf>
    <xf numFmtId="0" fontId="33" fillId="13" borderId="0" xfId="1" applyFont="1" applyFill="1" applyBorder="1" applyAlignment="1">
      <alignment vertical="center"/>
    </xf>
    <xf numFmtId="0" fontId="7" fillId="0" borderId="42" xfId="1" applyFont="1" applyBorder="1" applyAlignment="1">
      <alignment horizontal="right"/>
    </xf>
    <xf numFmtId="0" fontId="8" fillId="0" borderId="42" xfId="1" applyFont="1" applyBorder="1" applyAlignment="1"/>
    <xf numFmtId="0" fontId="7" fillId="0" borderId="42" xfId="1" applyFont="1" applyBorder="1" applyAlignment="1"/>
    <xf numFmtId="0" fontId="5" fillId="0" borderId="0" xfId="8" applyAlignment="1">
      <alignment horizontal="center"/>
    </xf>
    <xf numFmtId="0" fontId="0" fillId="0" borderId="0" xfId="0" applyFill="1" applyBorder="1" applyAlignment="1">
      <alignment horizontal="right"/>
    </xf>
    <xf numFmtId="0" fontId="33" fillId="0" borderId="0" xfId="0" applyFont="1" applyFill="1" applyBorder="1"/>
    <xf numFmtId="167" fontId="0" fillId="0" borderId="0" xfId="2" applyNumberFormat="1" applyFont="1" applyAlignment="1">
      <alignment horizontal="center"/>
    </xf>
    <xf numFmtId="164" fontId="0" fillId="0" borderId="2" xfId="2" applyNumberFormat="1" applyFont="1" applyBorder="1" applyAlignment="1">
      <alignment horizontal="center"/>
    </xf>
    <xf numFmtId="6" fontId="7" fillId="0" borderId="0" xfId="0" applyNumberFormat="1" applyFont="1" applyAlignment="1">
      <alignment horizontal="center"/>
    </xf>
    <xf numFmtId="6" fontId="7" fillId="9" borderId="0" xfId="0" applyNumberFormat="1" applyFont="1" applyFill="1" applyBorder="1"/>
    <xf numFmtId="0" fontId="7" fillId="9" borderId="0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164" fontId="7" fillId="0" borderId="0" xfId="2" applyNumberFormat="1" applyFont="1" applyFill="1" applyBorder="1" applyAlignment="1">
      <alignment horizontal="center"/>
    </xf>
    <xf numFmtId="164" fontId="7" fillId="0" borderId="0" xfId="2" applyNumberFormat="1" applyFont="1" applyFill="1" applyBorder="1" applyAlignment="1"/>
    <xf numFmtId="1" fontId="7" fillId="0" borderId="0" xfId="1" applyNumberFormat="1" applyFont="1" applyFill="1" applyBorder="1" applyAlignment="1"/>
    <xf numFmtId="0" fontId="7" fillId="0" borderId="0" xfId="1" applyFont="1" applyFill="1" applyBorder="1" applyAlignment="1">
      <alignment horizontal="left"/>
    </xf>
    <xf numFmtId="172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40" fillId="0" borderId="0" xfId="1" applyFont="1" applyFill="1" applyBorder="1" applyAlignment="1">
      <alignment horizontal="right"/>
    </xf>
    <xf numFmtId="5" fontId="7" fillId="0" borderId="0" xfId="1" applyNumberFormat="1" applyFont="1" applyFill="1" applyBorder="1"/>
    <xf numFmtId="0" fontId="7" fillId="0" borderId="2" xfId="1" applyFont="1" applyBorder="1" applyAlignment="1">
      <alignment horizontal="right"/>
    </xf>
    <xf numFmtId="166" fontId="7" fillId="0" borderId="2" xfId="1" applyNumberFormat="1" applyFont="1" applyBorder="1" applyAlignment="1">
      <alignment horizontal="center"/>
    </xf>
    <xf numFmtId="0" fontId="7" fillId="0" borderId="2" xfId="1" applyFont="1" applyBorder="1" applyAlignment="1">
      <alignment horizontal="center"/>
    </xf>
    <xf numFmtId="164" fontId="7" fillId="0" borderId="2" xfId="1" applyNumberFormat="1" applyFont="1" applyBorder="1" applyAlignment="1">
      <alignment horizontal="center"/>
    </xf>
    <xf numFmtId="6" fontId="7" fillId="0" borderId="0" xfId="2" applyNumberFormat="1" applyFont="1" applyFill="1" applyAlignment="1">
      <alignment horizontal="center"/>
    </xf>
    <xf numFmtId="0" fontId="8" fillId="0" borderId="36" xfId="1" applyFont="1" applyBorder="1" applyAlignment="1">
      <alignment horizontal="right"/>
    </xf>
    <xf numFmtId="0" fontId="8" fillId="0" borderId="37" xfId="1" applyFont="1" applyBorder="1" applyAlignment="1">
      <alignment horizontal="right"/>
    </xf>
    <xf numFmtId="44" fontId="7" fillId="0" borderId="5" xfId="1" applyNumberFormat="1" applyFont="1" applyBorder="1"/>
    <xf numFmtId="0" fontId="8" fillId="0" borderId="0" xfId="1" applyFont="1" applyFill="1" applyBorder="1" applyAlignment="1">
      <alignment horizontal="left" vertical="center"/>
    </xf>
    <xf numFmtId="0" fontId="50" fillId="0" borderId="0" xfId="6" applyFont="1"/>
    <xf numFmtId="0" fontId="14" fillId="0" borderId="25" xfId="0" applyFont="1" applyFill="1" applyBorder="1"/>
    <xf numFmtId="0" fontId="0" fillId="0" borderId="26" xfId="0" applyFill="1" applyBorder="1"/>
    <xf numFmtId="0" fontId="7" fillId="0" borderId="27" xfId="0" applyFont="1" applyFill="1" applyBorder="1" applyAlignment="1">
      <alignment horizontal="center"/>
    </xf>
    <xf numFmtId="0" fontId="7" fillId="0" borderId="20" xfId="0" applyFont="1" applyFill="1" applyBorder="1"/>
    <xf numFmtId="167" fontId="0" fillId="0" borderId="21" xfId="2" applyNumberFormat="1" applyFont="1" applyFill="1" applyBorder="1" applyAlignment="1">
      <alignment horizontal="center"/>
    </xf>
    <xf numFmtId="0" fontId="0" fillId="0" borderId="20" xfId="0" applyFill="1" applyBorder="1"/>
    <xf numFmtId="0" fontId="7" fillId="0" borderId="28" xfId="0" applyFont="1" applyFill="1" applyBorder="1"/>
    <xf numFmtId="9" fontId="7" fillId="0" borderId="29" xfId="0" applyNumberFormat="1" applyFont="1" applyFill="1" applyBorder="1"/>
    <xf numFmtId="164" fontId="0" fillId="0" borderId="30" xfId="2" applyNumberFormat="1" applyFont="1" applyFill="1" applyBorder="1" applyAlignment="1">
      <alignment horizontal="center"/>
    </xf>
    <xf numFmtId="170" fontId="11" fillId="0" borderId="21" xfId="0" applyNumberFormat="1" applyFont="1" applyFill="1" applyBorder="1"/>
    <xf numFmtId="16" fontId="0" fillId="0" borderId="21" xfId="0" applyNumberFormat="1" applyFill="1" applyBorder="1" applyAlignment="1">
      <alignment horizontal="right"/>
    </xf>
    <xf numFmtId="171" fontId="11" fillId="0" borderId="21" xfId="0" applyNumberFormat="1" applyFont="1" applyFill="1" applyBorder="1"/>
    <xf numFmtId="0" fontId="0" fillId="0" borderId="22" xfId="0" applyFill="1" applyBorder="1"/>
    <xf numFmtId="0" fontId="0" fillId="0" borderId="23" xfId="0" applyFill="1" applyBorder="1"/>
    <xf numFmtId="170" fontId="0" fillId="0" borderId="24" xfId="0" applyNumberFormat="1" applyFill="1" applyBorder="1"/>
    <xf numFmtId="0" fontId="33" fillId="0" borderId="0" xfId="0" applyFont="1"/>
    <xf numFmtId="0" fontId="33" fillId="0" borderId="0" xfId="0" applyFont="1" applyAlignment="1">
      <alignment wrapText="1"/>
    </xf>
    <xf numFmtId="6" fontId="33" fillId="0" borderId="0" xfId="0" applyNumberFormat="1" applyFont="1" applyFill="1" applyBorder="1" applyAlignment="1">
      <alignment horizontal="center"/>
    </xf>
    <xf numFmtId="0" fontId="34" fillId="13" borderId="0" xfId="0" applyFont="1" applyFill="1"/>
    <xf numFmtId="0" fontId="33" fillId="13" borderId="0" xfId="0" applyFont="1" applyFill="1" applyAlignment="1">
      <alignment horizontal="center"/>
    </xf>
    <xf numFmtId="0" fontId="33" fillId="13" borderId="0" xfId="0" applyFont="1" applyFill="1"/>
    <xf numFmtId="0" fontId="14" fillId="6" borderId="17" xfId="0" applyFont="1" applyFill="1" applyBorder="1"/>
    <xf numFmtId="0" fontId="14" fillId="6" borderId="18" xfId="0" applyFont="1" applyFill="1" applyBorder="1"/>
    <xf numFmtId="0" fontId="14" fillId="6" borderId="22" xfId="0" applyFont="1" applyFill="1" applyBorder="1"/>
    <xf numFmtId="0" fontId="14" fillId="6" borderId="23" xfId="0" applyFont="1" applyFill="1" applyBorder="1"/>
    <xf numFmtId="9" fontId="14" fillId="0" borderId="8" xfId="0" applyNumberFormat="1" applyFont="1" applyBorder="1" applyAlignment="1">
      <alignment horizontal="center"/>
    </xf>
    <xf numFmtId="6" fontId="8" fillId="0" borderId="2" xfId="0" applyNumberFormat="1" applyFont="1" applyBorder="1" applyAlignment="1">
      <alignment horizontal="center"/>
    </xf>
    <xf numFmtId="172" fontId="8" fillId="0" borderId="2" xfId="0" applyNumberFormat="1" applyFont="1" applyBorder="1" applyAlignment="1">
      <alignment horizontal="center"/>
    </xf>
    <xf numFmtId="172" fontId="14" fillId="6" borderId="19" xfId="0" applyNumberFormat="1" applyFont="1" applyFill="1" applyBorder="1" applyAlignment="1">
      <alignment horizontal="center"/>
    </xf>
    <xf numFmtId="176" fontId="14" fillId="6" borderId="24" xfId="0" applyNumberFormat="1" applyFont="1" applyFill="1" applyBorder="1" applyAlignment="1">
      <alignment horizontal="center"/>
    </xf>
    <xf numFmtId="0" fontId="14" fillId="4" borderId="0" xfId="0" applyFont="1" applyFill="1" applyBorder="1"/>
    <xf numFmtId="0" fontId="14" fillId="4" borderId="0" xfId="0" applyFont="1" applyFill="1" applyBorder="1" applyAlignment="1">
      <alignment horizontal="center"/>
    </xf>
    <xf numFmtId="164" fontId="0" fillId="0" borderId="0" xfId="2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167" fontId="0" fillId="0" borderId="0" xfId="2" applyNumberFormat="1" applyFont="1" applyFill="1" applyBorder="1" applyAlignment="1">
      <alignment horizontal="center"/>
    </xf>
    <xf numFmtId="0" fontId="7" fillId="0" borderId="2" xfId="0" applyFont="1" applyFill="1" applyBorder="1"/>
    <xf numFmtId="167" fontId="0" fillId="0" borderId="2" xfId="2" applyNumberFormat="1" applyFont="1" applyFill="1" applyBorder="1" applyAlignment="1">
      <alignment horizontal="center"/>
    </xf>
    <xf numFmtId="171" fontId="7" fillId="0" borderId="0" xfId="0" applyNumberFormat="1" applyFont="1" applyFill="1"/>
    <xf numFmtId="0" fontId="0" fillId="4" borderId="0" xfId="0" applyFill="1" applyBorder="1" applyAlignment="1">
      <alignment horizontal="center"/>
    </xf>
    <xf numFmtId="9" fontId="7" fillId="0" borderId="2" xfId="0" applyNumberFormat="1" applyFont="1" applyFill="1" applyBorder="1" applyAlignment="1">
      <alignment horizontal="center"/>
    </xf>
    <xf numFmtId="9" fontId="11" fillId="0" borderId="0" xfId="0" applyNumberFormat="1" applyFont="1"/>
    <xf numFmtId="9" fontId="11" fillId="0" borderId="0" xfId="0" applyNumberFormat="1" applyFont="1" applyFill="1"/>
    <xf numFmtId="9" fontId="8" fillId="0" borderId="5" xfId="1" applyNumberFormat="1" applyFont="1" applyBorder="1"/>
    <xf numFmtId="9" fontId="0" fillId="0" borderId="0" xfId="0" applyNumberFormat="1"/>
    <xf numFmtId="173" fontId="0" fillId="0" borderId="0" xfId="0" applyNumberFormat="1" applyAlignment="1">
      <alignment horizontal="center"/>
    </xf>
    <xf numFmtId="6" fontId="0" fillId="0" borderId="2" xfId="2" applyNumberFormat="1" applyFont="1" applyBorder="1" applyAlignment="1">
      <alignment horizontal="center"/>
    </xf>
    <xf numFmtId="0" fontId="53" fillId="0" borderId="0" xfId="0" applyFont="1" applyFill="1"/>
    <xf numFmtId="0" fontId="53" fillId="0" borderId="0" xfId="0" applyFont="1"/>
    <xf numFmtId="0" fontId="7" fillId="0" borderId="0" xfId="0" applyFont="1" applyFill="1" applyBorder="1" applyAlignment="1">
      <alignment wrapText="1"/>
    </xf>
    <xf numFmtId="0" fontId="7" fillId="9" borderId="0" xfId="0" applyFont="1" applyFill="1" applyBorder="1"/>
    <xf numFmtId="0" fontId="39" fillId="13" borderId="0" xfId="0" applyFont="1" applyFill="1" applyBorder="1" applyAlignment="1"/>
    <xf numFmtId="0" fontId="39" fillId="13" borderId="0" xfId="0" applyFont="1" applyFill="1" applyBorder="1" applyAlignment="1">
      <alignment wrapText="1"/>
    </xf>
    <xf numFmtId="0" fontId="39" fillId="13" borderId="0" xfId="0" applyFont="1" applyFill="1" applyBorder="1" applyAlignment="1">
      <alignment horizontal="center" wrapText="1"/>
    </xf>
    <xf numFmtId="0" fontId="54" fillId="10" borderId="0" xfId="0" applyFont="1" applyFill="1" applyBorder="1" applyAlignment="1">
      <alignment horizontal="left"/>
    </xf>
    <xf numFmtId="0" fontId="55" fillId="10" borderId="0" xfId="0" applyFont="1" applyFill="1" applyBorder="1" applyAlignment="1">
      <alignment horizontal="center"/>
    </xf>
    <xf numFmtId="0" fontId="56" fillId="10" borderId="0" xfId="0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0" fontId="54" fillId="10" borderId="0" xfId="0" applyFont="1" applyFill="1" applyBorder="1" applyAlignment="1">
      <alignment horizontal="left" indent="1"/>
    </xf>
    <xf numFmtId="5" fontId="13" fillId="10" borderId="0" xfId="0" applyNumberFormat="1" applyFont="1" applyFill="1" applyBorder="1" applyAlignment="1">
      <alignment horizontal="center"/>
    </xf>
    <xf numFmtId="193" fontId="13" fillId="10" borderId="0" xfId="0" applyNumberFormat="1" applyFont="1" applyFill="1" applyBorder="1" applyAlignment="1">
      <alignment horizontal="center"/>
    </xf>
    <xf numFmtId="3" fontId="13" fillId="10" borderId="0" xfId="0" applyNumberFormat="1" applyFont="1" applyFill="1" applyBorder="1" applyAlignment="1">
      <alignment horizontal="center"/>
    </xf>
    <xf numFmtId="5" fontId="7" fillId="0" borderId="0" xfId="0" applyNumberFormat="1" applyFont="1" applyFill="1" applyBorder="1"/>
    <xf numFmtId="3" fontId="51" fillId="10" borderId="0" xfId="0" applyNumberFormat="1" applyFont="1" applyFill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5" fontId="13" fillId="0" borderId="0" xfId="0" applyNumberFormat="1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51" fillId="10" borderId="0" xfId="0" applyFont="1" applyFill="1" applyBorder="1" applyAlignment="1">
      <alignment horizontal="center"/>
    </xf>
    <xf numFmtId="3" fontId="7" fillId="10" borderId="0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left" indent="1"/>
    </xf>
    <xf numFmtId="0" fontId="52" fillId="10" borderId="0" xfId="0" applyFont="1" applyFill="1" applyBorder="1" applyAlignment="1">
      <alignment horizontal="center"/>
    </xf>
    <xf numFmtId="0" fontId="7" fillId="10" borderId="0" xfId="0" applyFont="1" applyFill="1" applyBorder="1" applyAlignment="1">
      <alignment horizontal="center"/>
    </xf>
    <xf numFmtId="1" fontId="7" fillId="10" borderId="0" xfId="0" applyNumberFormat="1" applyFont="1" applyFill="1" applyBorder="1" applyAlignment="1">
      <alignment horizontal="center"/>
    </xf>
    <xf numFmtId="1" fontId="51" fillId="10" borderId="0" xfId="0" applyNumberFormat="1" applyFont="1" applyFill="1" applyBorder="1" applyAlignment="1">
      <alignment horizontal="center"/>
    </xf>
    <xf numFmtId="5" fontId="52" fillId="10" borderId="0" xfId="0" applyNumberFormat="1" applyFont="1" applyFill="1" applyBorder="1" applyAlignment="1">
      <alignment horizontal="center"/>
    </xf>
    <xf numFmtId="0" fontId="54" fillId="9" borderId="0" xfId="0" applyFont="1" applyFill="1" applyBorder="1" applyAlignment="1">
      <alignment horizontal="left"/>
    </xf>
    <xf numFmtId="0" fontId="54" fillId="10" borderId="2" xfId="0" applyFont="1" applyFill="1" applyBorder="1" applyAlignment="1">
      <alignment horizontal="left"/>
    </xf>
    <xf numFmtId="5" fontId="13" fillId="10" borderId="2" xfId="0" applyNumberFormat="1" applyFont="1" applyFill="1" applyBorder="1" applyAlignment="1">
      <alignment horizontal="center"/>
    </xf>
    <xf numFmtId="3" fontId="7" fillId="10" borderId="2" xfId="0" applyNumberFormat="1" applyFont="1" applyFill="1" applyBorder="1" applyAlignment="1">
      <alignment horizontal="center"/>
    </xf>
    <xf numFmtId="5" fontId="7" fillId="0" borderId="2" xfId="0" applyNumberFormat="1" applyFont="1" applyFill="1" applyBorder="1"/>
    <xf numFmtId="3" fontId="51" fillId="10" borderId="2" xfId="0" applyNumberFormat="1" applyFont="1" applyFill="1" applyBorder="1" applyAlignment="1">
      <alignment horizontal="center"/>
    </xf>
    <xf numFmtId="0" fontId="39" fillId="0" borderId="0" xfId="0" applyFont="1" applyFill="1" applyBorder="1"/>
    <xf numFmtId="0" fontId="8" fillId="0" borderId="0" xfId="0" applyFont="1" applyFill="1" applyBorder="1"/>
    <xf numFmtId="0" fontId="58" fillId="0" borderId="0" xfId="0" applyFont="1" applyFill="1" applyBorder="1"/>
    <xf numFmtId="0" fontId="5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3" applyFont="1" applyAlignment="1">
      <alignment horizontal="left"/>
    </xf>
    <xf numFmtId="164" fontId="7" fillId="0" borderId="0" xfId="4" applyNumberFormat="1" applyFont="1" applyFill="1" applyAlignment="1">
      <alignment horizontal="left"/>
    </xf>
    <xf numFmtId="0" fontId="7" fillId="0" borderId="0" xfId="3" applyFont="1" applyAlignment="1">
      <alignment horizontal="right"/>
    </xf>
    <xf numFmtId="0" fontId="8" fillId="0" borderId="0" xfId="3" applyFont="1" applyAlignment="1">
      <alignment horizontal="left"/>
    </xf>
    <xf numFmtId="164" fontId="7" fillId="0" borderId="0" xfId="4" applyNumberFormat="1" applyFont="1" applyFill="1" applyBorder="1" applyAlignment="1">
      <alignment vertical="top"/>
    </xf>
    <xf numFmtId="6" fontId="13" fillId="0" borderId="0" xfId="3" applyNumberFormat="1" applyFont="1" applyBorder="1" applyAlignment="1">
      <alignment horizontal="right"/>
    </xf>
    <xf numFmtId="164" fontId="7" fillId="0" borderId="0" xfId="4" applyNumberFormat="1" applyFont="1" applyFill="1" applyBorder="1" applyAlignment="1"/>
    <xf numFmtId="6" fontId="13" fillId="0" borderId="0" xfId="3" applyNumberFormat="1" applyFont="1" applyBorder="1" applyAlignment="1">
      <alignment horizontal="right" vertical="top"/>
    </xf>
    <xf numFmtId="0" fontId="7" fillId="0" borderId="0" xfId="3" applyFont="1" applyBorder="1"/>
    <xf numFmtId="6" fontId="13" fillId="0" borderId="0" xfId="3" applyNumberFormat="1" applyFont="1" applyBorder="1"/>
    <xf numFmtId="0" fontId="7" fillId="0" borderId="0" xfId="3" applyFont="1" applyBorder="1" applyAlignment="1">
      <alignment vertical="top"/>
    </xf>
    <xf numFmtId="6" fontId="13" fillId="0" borderId="0" xfId="3" applyNumberFormat="1" applyFont="1" applyBorder="1" applyAlignment="1">
      <alignment horizontal="left"/>
    </xf>
    <xf numFmtId="164" fontId="7" fillId="0" borderId="0" xfId="4" applyNumberFormat="1" applyFont="1" applyFill="1" applyBorder="1" applyAlignment="1">
      <alignment horizontal="left"/>
    </xf>
    <xf numFmtId="0" fontId="7" fillId="0" borderId="0" xfId="3" applyFont="1" applyBorder="1" applyAlignment="1">
      <alignment horizontal="left"/>
    </xf>
    <xf numFmtId="0" fontId="7" fillId="11" borderId="0" xfId="3" applyFont="1" applyFill="1" applyAlignment="1">
      <alignment horizontal="left"/>
    </xf>
    <xf numFmtId="0" fontId="7" fillId="0" borderId="2" xfId="3" applyFont="1" applyBorder="1" applyAlignment="1">
      <alignment horizontal="left"/>
    </xf>
    <xf numFmtId="0" fontId="33" fillId="8" borderId="0" xfId="3" applyFont="1" applyFill="1" applyAlignment="1">
      <alignment horizontal="left"/>
    </xf>
    <xf numFmtId="164" fontId="33" fillId="8" borderId="0" xfId="4" applyNumberFormat="1" applyFont="1" applyFill="1" applyAlignment="1">
      <alignment horizontal="left"/>
    </xf>
    <xf numFmtId="164" fontId="7" fillId="11" borderId="0" xfId="2" applyNumberFormat="1" applyFont="1" applyFill="1" applyAlignment="1">
      <alignment horizontal="left"/>
    </xf>
    <xf numFmtId="164" fontId="0" fillId="0" borderId="2" xfId="2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2" xfId="0" applyFill="1" applyBorder="1" applyAlignment="1">
      <alignment horizontal="center"/>
    </xf>
    <xf numFmtId="0" fontId="33" fillId="8" borderId="0" xfId="0" applyFont="1" applyFill="1" applyBorder="1" applyAlignment="1">
      <alignment horizontal="center"/>
    </xf>
    <xf numFmtId="0" fontId="14" fillId="11" borderId="7" xfId="0" applyFont="1" applyFill="1" applyBorder="1"/>
    <xf numFmtId="0" fontId="0" fillId="11" borderId="7" xfId="0" applyFill="1" applyBorder="1" applyAlignment="1">
      <alignment horizontal="center"/>
    </xf>
    <xf numFmtId="0" fontId="14" fillId="11" borderId="0" xfId="0" applyFont="1" applyFill="1" applyBorder="1"/>
    <xf numFmtId="0" fontId="8" fillId="11" borderId="0" xfId="0" applyFont="1" applyFill="1" applyBorder="1" applyAlignment="1">
      <alignment horizontal="center"/>
    </xf>
    <xf numFmtId="0" fontId="32" fillId="8" borderId="0" xfId="0" applyFont="1" applyFill="1" applyBorder="1"/>
    <xf numFmtId="9" fontId="0" fillId="0" borderId="0" xfId="2" applyNumberFormat="1" applyFont="1" applyAlignment="1">
      <alignment horizontal="center"/>
    </xf>
    <xf numFmtId="0" fontId="39" fillId="8" borderId="7" xfId="0" applyFont="1" applyFill="1" applyBorder="1" applyAlignment="1">
      <alignment horizontal="center"/>
    </xf>
    <xf numFmtId="0" fontId="8" fillId="11" borderId="7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5" fillId="0" borderId="0" xfId="8" applyAlignment="1">
      <alignment horizontal="center"/>
    </xf>
    <xf numFmtId="9" fontId="13" fillId="0" borderId="0" xfId="0" applyNumberFormat="1" applyFont="1" applyFill="1"/>
    <xf numFmtId="6" fontId="13" fillId="0" borderId="0" xfId="0" applyNumberFormat="1" applyFont="1" applyFill="1" applyAlignment="1">
      <alignment horizontal="center"/>
    </xf>
    <xf numFmtId="6" fontId="7" fillId="0" borderId="0" xfId="0" applyNumberFormat="1" applyFont="1" applyFill="1" applyAlignment="1">
      <alignment horizontal="center"/>
    </xf>
    <xf numFmtId="171" fontId="13" fillId="0" borderId="0" xfId="0" applyNumberFormat="1" applyFont="1" applyFill="1"/>
    <xf numFmtId="10" fontId="12" fillId="0" borderId="0" xfId="0" applyNumberFormat="1" applyFont="1" applyFill="1"/>
    <xf numFmtId="6" fontId="23" fillId="0" borderId="0" xfId="6" applyNumberFormat="1" applyFont="1" applyFill="1"/>
    <xf numFmtId="43" fontId="23" fillId="0" borderId="0" xfId="7" applyFont="1" applyFill="1" applyBorder="1"/>
    <xf numFmtId="164" fontId="23" fillId="0" borderId="0" xfId="6" applyNumberFormat="1" applyFont="1" applyFill="1"/>
    <xf numFmtId="9" fontId="31" fillId="0" borderId="0" xfId="6" applyNumberFormat="1" applyFont="1" applyFill="1" applyAlignment="1">
      <alignment horizontal="center"/>
    </xf>
    <xf numFmtId="182" fontId="28" fillId="0" borderId="0" xfId="8" applyNumberFormat="1" applyFont="1" applyFill="1" applyAlignment="1">
      <alignment horizontal="center"/>
    </xf>
    <xf numFmtId="9" fontId="28" fillId="0" borderId="0" xfId="8" applyNumberFormat="1" applyFont="1" applyFill="1" applyAlignment="1">
      <alignment horizontal="center"/>
    </xf>
    <xf numFmtId="0" fontId="28" fillId="0" borderId="0" xfId="8" applyFont="1" applyFill="1"/>
    <xf numFmtId="9" fontId="28" fillId="0" borderId="0" xfId="8" applyNumberFormat="1" applyFont="1" applyFill="1"/>
    <xf numFmtId="173" fontId="28" fillId="0" borderId="0" xfId="8" applyNumberFormat="1" applyFont="1" applyFill="1"/>
    <xf numFmtId="43" fontId="28" fillId="0" borderId="0" xfId="9" applyFont="1" applyFill="1"/>
    <xf numFmtId="10" fontId="16" fillId="0" borderId="0" xfId="0" applyNumberFormat="1" applyFont="1" applyFill="1"/>
    <xf numFmtId="164" fontId="25" fillId="0" borderId="0" xfId="2" applyNumberFormat="1" applyFont="1" applyFill="1"/>
    <xf numFmtId="0" fontId="24" fillId="0" borderId="0" xfId="6" applyFont="1" applyFill="1"/>
    <xf numFmtId="164" fontId="25" fillId="0" borderId="0" xfId="7" applyNumberFormat="1" applyFont="1" applyFill="1"/>
    <xf numFmtId="9" fontId="31" fillId="0" borderId="0" xfId="6" applyNumberFormat="1" applyFont="1" applyFill="1"/>
    <xf numFmtId="164" fontId="21" fillId="0" borderId="0" xfId="6" applyNumberFormat="1" applyFill="1"/>
    <xf numFmtId="0" fontId="23" fillId="0" borderId="0" xfId="6" applyFont="1" applyFill="1"/>
    <xf numFmtId="183" fontId="23" fillId="0" borderId="0" xfId="6" applyNumberFormat="1" applyFont="1" applyFill="1"/>
    <xf numFmtId="164" fontId="23" fillId="0" borderId="0" xfId="7" applyNumberFormat="1" applyFont="1" applyFill="1"/>
    <xf numFmtId="43" fontId="23" fillId="0" borderId="0" xfId="7" applyFont="1" applyFill="1"/>
    <xf numFmtId="9" fontId="21" fillId="0" borderId="0" xfId="6" applyNumberFormat="1" applyFill="1"/>
    <xf numFmtId="43" fontId="0" fillId="0" borderId="0" xfId="7" applyFont="1" applyFill="1"/>
    <xf numFmtId="10" fontId="23" fillId="0" borderId="0" xfId="6" applyNumberFormat="1" applyFont="1" applyFill="1"/>
    <xf numFmtId="173" fontId="23" fillId="0" borderId="0" xfId="6" applyNumberFormat="1" applyFont="1" applyFill="1"/>
    <xf numFmtId="178" fontId="23" fillId="0" borderId="0" xfId="6" applyNumberFormat="1" applyFont="1" applyFill="1"/>
    <xf numFmtId="6" fontId="21" fillId="0" borderId="0" xfId="6" applyNumberFormat="1" applyFill="1"/>
    <xf numFmtId="6" fontId="12" fillId="0" borderId="0" xfId="8" applyNumberFormat="1" applyFont="1" applyFill="1"/>
    <xf numFmtId="164" fontId="11" fillId="0" borderId="0" xfId="8" applyNumberFormat="1" applyFont="1" applyFill="1"/>
    <xf numFmtId="0" fontId="12" fillId="0" borderId="0" xfId="8" applyFont="1" applyFill="1"/>
    <xf numFmtId="0" fontId="5" fillId="0" borderId="0" xfId="8" applyFill="1"/>
    <xf numFmtId="0" fontId="0" fillId="0" borderId="2" xfId="0" applyFill="1" applyBorder="1"/>
    <xf numFmtId="187" fontId="0" fillId="0" borderId="0" xfId="0" applyNumberFormat="1" applyFill="1" applyBorder="1" applyAlignment="1">
      <alignment horizontal="center"/>
    </xf>
    <xf numFmtId="9" fontId="0" fillId="0" borderId="0" xfId="0" applyNumberFormat="1" applyAlignment="1">
      <alignment horizontal="center"/>
    </xf>
    <xf numFmtId="173" fontId="0" fillId="0" borderId="0" xfId="0" applyNumberFormat="1" applyFill="1" applyBorder="1" applyAlignment="1">
      <alignment horizontal="center"/>
    </xf>
    <xf numFmtId="182" fontId="0" fillId="0" borderId="2" xfId="0" applyNumberFormat="1" applyFill="1" applyBorder="1" applyAlignment="1">
      <alignment horizontal="center"/>
    </xf>
    <xf numFmtId="187" fontId="0" fillId="0" borderId="2" xfId="0" applyNumberFormat="1" applyFill="1" applyBorder="1" applyAlignment="1">
      <alignment horizontal="center"/>
    </xf>
    <xf numFmtId="0" fontId="52" fillId="0" borderId="0" xfId="0" applyFont="1"/>
    <xf numFmtId="194" fontId="0" fillId="0" borderId="0" xfId="2" applyNumberFormat="1" applyFont="1" applyFill="1" applyBorder="1" applyAlignment="1">
      <alignment horizontal="center"/>
    </xf>
    <xf numFmtId="3" fontId="33" fillId="0" borderId="0" xfId="0" applyNumberFormat="1" applyFont="1" applyFill="1"/>
    <xf numFmtId="3" fontId="7" fillId="0" borderId="0" xfId="0" applyNumberFormat="1" applyFont="1" applyFill="1"/>
    <xf numFmtId="173" fontId="13" fillId="0" borderId="0" xfId="0" applyNumberFormat="1" applyFont="1" applyFill="1"/>
    <xf numFmtId="0" fontId="33" fillId="0" borderId="0" xfId="0" applyFont="1" applyFill="1"/>
    <xf numFmtId="3" fontId="0" fillId="0" borderId="0" xfId="0" applyNumberFormat="1" applyAlignment="1">
      <alignment horizontal="center"/>
    </xf>
    <xf numFmtId="164" fontId="7" fillId="0" borderId="0" xfId="4" applyNumberFormat="1" applyFont="1" applyFill="1" applyBorder="1" applyAlignment="1">
      <alignment horizontal="right"/>
    </xf>
    <xf numFmtId="164" fontId="7" fillId="0" borderId="40" xfId="4" applyNumberFormat="1" applyFont="1" applyFill="1" applyBorder="1" applyAlignment="1">
      <alignment horizontal="left"/>
    </xf>
    <xf numFmtId="0" fontId="39" fillId="8" borderId="0" xfId="3" applyFont="1" applyFill="1" applyBorder="1" applyAlignment="1">
      <alignment horizontal="left"/>
    </xf>
    <xf numFmtId="164" fontId="39" fillId="8" borderId="0" xfId="4" applyNumberFormat="1" applyFont="1" applyFill="1" applyBorder="1" applyAlignment="1">
      <alignment horizontal="left"/>
    </xf>
    <xf numFmtId="165" fontId="39" fillId="8" borderId="0" xfId="4" applyNumberFormat="1" applyFont="1" applyFill="1" applyBorder="1" applyAlignment="1">
      <alignment horizontal="left"/>
    </xf>
    <xf numFmtId="166" fontId="39" fillId="8" borderId="0" xfId="5" applyNumberFormat="1" applyFont="1" applyFill="1" applyBorder="1" applyAlignment="1">
      <alignment horizontal="right"/>
    </xf>
    <xf numFmtId="166" fontId="39" fillId="8" borderId="0" xfId="5" applyNumberFormat="1" applyFont="1" applyFill="1" applyBorder="1" applyAlignment="1">
      <alignment horizontal="left"/>
    </xf>
    <xf numFmtId="0" fontId="7" fillId="0" borderId="0" xfId="3" applyFont="1" applyFill="1" applyBorder="1" applyAlignment="1">
      <alignment horizontal="left"/>
    </xf>
    <xf numFmtId="0" fontId="7" fillId="0" borderId="0" xfId="3" applyFont="1" applyBorder="1" applyAlignment="1">
      <alignment vertical="center"/>
    </xf>
    <xf numFmtId="6" fontId="7" fillId="0" borderId="0" xfId="3" applyNumberFormat="1" applyFont="1" applyBorder="1" applyAlignment="1">
      <alignment horizontal="right" vertical="top"/>
    </xf>
    <xf numFmtId="0" fontId="7" fillId="7" borderId="0" xfId="3" applyFont="1" applyFill="1" applyBorder="1" applyAlignment="1">
      <alignment horizontal="left"/>
    </xf>
    <xf numFmtId="0" fontId="51" fillId="0" borderId="0" xfId="3" applyFont="1" applyBorder="1"/>
    <xf numFmtId="0" fontId="59" fillId="0" borderId="0" xfId="3" applyFont="1" applyBorder="1"/>
    <xf numFmtId="1" fontId="7" fillId="0" borderId="0" xfId="3" applyNumberFormat="1" applyFont="1" applyBorder="1"/>
    <xf numFmtId="0" fontId="51" fillId="0" borderId="0" xfId="3" applyFont="1" applyFill="1" applyBorder="1"/>
    <xf numFmtId="0" fontId="7" fillId="11" borderId="0" xfId="3" applyFont="1" applyFill="1" applyBorder="1" applyAlignment="1">
      <alignment horizontal="left"/>
    </xf>
    <xf numFmtId="6" fontId="13" fillId="0" borderId="0" xfId="3" applyNumberFormat="1" applyFont="1" applyBorder="1" applyAlignment="1">
      <alignment horizontal="right" vertical="center"/>
    </xf>
    <xf numFmtId="0" fontId="13" fillId="0" borderId="0" xfId="3" applyFont="1" applyBorder="1" applyAlignment="1">
      <alignment vertical="center"/>
    </xf>
    <xf numFmtId="0" fontId="13" fillId="0" borderId="0" xfId="3" applyFont="1" applyBorder="1" applyAlignment="1">
      <alignment horizontal="left"/>
    </xf>
    <xf numFmtId="164" fontId="7" fillId="0" borderId="0" xfId="0" applyNumberFormat="1" applyFont="1" applyAlignment="1"/>
    <xf numFmtId="0" fontId="33" fillId="0" borderId="2" xfId="0" applyFont="1" applyFill="1" applyBorder="1"/>
    <xf numFmtId="195" fontId="33" fillId="0" borderId="2" xfId="0" applyNumberFormat="1" applyFont="1" applyFill="1" applyBorder="1" applyAlignment="1">
      <alignment horizontal="center"/>
    </xf>
    <xf numFmtId="195" fontId="7" fillId="0" borderId="2" xfId="0" applyNumberFormat="1" applyFont="1" applyFill="1" applyBorder="1" applyAlignment="1">
      <alignment horizontal="center"/>
    </xf>
    <xf numFmtId="3" fontId="33" fillId="0" borderId="0" xfId="0" applyNumberFormat="1" applyFont="1" applyFill="1" applyBorder="1"/>
    <xf numFmtId="0" fontId="39" fillId="8" borderId="0" xfId="0" applyFont="1" applyFill="1"/>
    <xf numFmtId="195" fontId="39" fillId="8" borderId="0" xfId="0" applyNumberFormat="1" applyFont="1" applyFill="1" applyAlignment="1">
      <alignment horizontal="center"/>
    </xf>
    <xf numFmtId="3" fontId="39" fillId="0" borderId="0" xfId="0" applyNumberFormat="1" applyFont="1" applyFill="1"/>
    <xf numFmtId="0" fontId="39" fillId="0" borderId="0" xfId="0" applyFont="1"/>
    <xf numFmtId="0" fontId="8" fillId="11" borderId="0" xfId="0" applyFont="1" applyFill="1"/>
    <xf numFmtId="195" fontId="8" fillId="11" borderId="0" xfId="0" applyNumberFormat="1" applyFont="1" applyFill="1" applyAlignment="1">
      <alignment horizontal="center"/>
    </xf>
    <xf numFmtId="44" fontId="0" fillId="0" borderId="36" xfId="0" applyNumberFormat="1" applyBorder="1" applyAlignment="1">
      <alignment horizontal="center"/>
    </xf>
    <xf numFmtId="44" fontId="0" fillId="0" borderId="37" xfId="0" applyNumberFormat="1" applyBorder="1" applyAlignment="1">
      <alignment horizontal="center"/>
    </xf>
    <xf numFmtId="44" fontId="0" fillId="0" borderId="38" xfId="0" applyNumberFormat="1" applyBorder="1" applyAlignment="1">
      <alignment horizontal="center"/>
    </xf>
    <xf numFmtId="0" fontId="1" fillId="0" borderId="0" xfId="11"/>
    <xf numFmtId="3" fontId="1" fillId="0" borderId="0" xfId="11" applyNumberFormat="1"/>
    <xf numFmtId="0" fontId="1" fillId="0" borderId="0" xfId="11" applyAlignment="1">
      <alignment horizontal="left" indent="1"/>
    </xf>
    <xf numFmtId="0" fontId="1" fillId="0" borderId="0" xfId="11" applyAlignment="1">
      <alignment horizontal="left"/>
    </xf>
    <xf numFmtId="0" fontId="1" fillId="0" borderId="5" xfId="11" applyBorder="1"/>
    <xf numFmtId="3" fontId="1" fillId="0" borderId="38" xfId="11" applyNumberFormat="1" applyBorder="1"/>
    <xf numFmtId="173" fontId="0" fillId="0" borderId="0" xfId="0" applyNumberFormat="1"/>
    <xf numFmtId="167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182" fontId="28" fillId="0" borderId="2" xfId="8" applyNumberFormat="1" applyFont="1" applyFill="1" applyBorder="1" applyAlignment="1">
      <alignment horizontal="center"/>
    </xf>
    <xf numFmtId="0" fontId="1" fillId="0" borderId="0" xfId="11" applyAlignment="1">
      <alignment horizontal="center" vertical="center"/>
    </xf>
    <xf numFmtId="0" fontId="7" fillId="0" borderId="0" xfId="1" applyFont="1" applyBorder="1" applyAlignment="1">
      <alignment horizontal="right"/>
    </xf>
    <xf numFmtId="9" fontId="7" fillId="0" borderId="0" xfId="1" applyNumberFormat="1" applyFont="1" applyBorder="1" applyAlignment="1">
      <alignment horizontal="center"/>
    </xf>
    <xf numFmtId="0" fontId="8" fillId="0" borderId="42" xfId="1" applyFont="1" applyBorder="1" applyAlignment="1">
      <alignment horizontal="left" wrapText="1"/>
    </xf>
    <xf numFmtId="0" fontId="8" fillId="0" borderId="2" xfId="1" applyFont="1" applyBorder="1" applyAlignment="1">
      <alignment horizontal="right"/>
    </xf>
    <xf numFmtId="0" fontId="39" fillId="13" borderId="0" xfId="1" applyFont="1" applyFill="1" applyBorder="1" applyAlignment="1">
      <alignment horizontal="left" vertical="center"/>
    </xf>
    <xf numFmtId="0" fontId="33" fillId="13" borderId="0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right"/>
    </xf>
    <xf numFmtId="0" fontId="8" fillId="0" borderId="0" xfId="1" applyFont="1" applyBorder="1" applyAlignment="1">
      <alignment horizontal="left"/>
    </xf>
    <xf numFmtId="0" fontId="8" fillId="0" borderId="2" xfId="1" applyFont="1" applyBorder="1" applyAlignment="1">
      <alignment horizontal="left"/>
    </xf>
    <xf numFmtId="0" fontId="8" fillId="0" borderId="41" xfId="1" applyFont="1" applyBorder="1" applyAlignment="1">
      <alignment horizontal="left"/>
    </xf>
    <xf numFmtId="0" fontId="39" fillId="13" borderId="39" xfId="1" applyFont="1" applyFill="1" applyBorder="1" applyAlignment="1">
      <alignment horizontal="center" vertical="center"/>
    </xf>
    <xf numFmtId="0" fontId="39" fillId="13" borderId="40" xfId="1" applyFont="1" applyFill="1" applyBorder="1" applyAlignment="1">
      <alignment horizontal="center" vertical="center"/>
    </xf>
    <xf numFmtId="5" fontId="7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39" fillId="13" borderId="0" xfId="1" applyFont="1" applyFill="1" applyBorder="1" applyAlignment="1">
      <alignment vertical="center"/>
    </xf>
    <xf numFmtId="0" fontId="7" fillId="0" borderId="2" xfId="1" applyFont="1" applyBorder="1" applyAlignment="1">
      <alignment horizontal="right"/>
    </xf>
    <xf numFmtId="0" fontId="7" fillId="0" borderId="0" xfId="1" applyFont="1" applyBorder="1" applyAlignment="1"/>
    <xf numFmtId="0" fontId="8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/>
    </xf>
    <xf numFmtId="5" fontId="7" fillId="0" borderId="37" xfId="1" applyNumberFormat="1" applyFont="1" applyBorder="1" applyAlignment="1">
      <alignment horizontal="center"/>
    </xf>
    <xf numFmtId="5" fontId="7" fillId="0" borderId="38" xfId="1" applyNumberFormat="1" applyFont="1" applyBorder="1" applyAlignment="1">
      <alignment horizontal="center"/>
    </xf>
    <xf numFmtId="6" fontId="7" fillId="0" borderId="0" xfId="1" applyNumberFormat="1" applyFont="1" applyBorder="1" applyAlignment="1">
      <alignment horizontal="center"/>
    </xf>
    <xf numFmtId="5" fontId="7" fillId="0" borderId="43" xfId="1" applyNumberFormat="1" applyFont="1" applyBorder="1" applyAlignment="1">
      <alignment horizontal="center"/>
    </xf>
    <xf numFmtId="0" fontId="8" fillId="0" borderId="42" xfId="1" applyFont="1" applyBorder="1" applyAlignment="1"/>
    <xf numFmtId="0" fontId="7" fillId="0" borderId="42" xfId="1" applyFont="1" applyBorder="1" applyAlignment="1"/>
    <xf numFmtId="0" fontId="8" fillId="0" borderId="42" xfId="1" applyFont="1" applyBorder="1" applyAlignment="1">
      <alignment horizontal="center" wrapText="1"/>
    </xf>
    <xf numFmtId="9" fontId="7" fillId="0" borderId="0" xfId="1" applyNumberFormat="1" applyFont="1" applyFill="1" applyBorder="1" applyAlignment="1">
      <alignment horizontal="center"/>
    </xf>
    <xf numFmtId="5" fontId="7" fillId="0" borderId="0" xfId="1" applyNumberFormat="1" applyFont="1" applyBorder="1" applyAlignment="1">
      <alignment horizontal="center"/>
    </xf>
    <xf numFmtId="0" fontId="8" fillId="0" borderId="36" xfId="1" applyFont="1" applyBorder="1" applyAlignment="1">
      <alignment horizontal="left"/>
    </xf>
    <xf numFmtId="0" fontId="7" fillId="0" borderId="37" xfId="1" applyFont="1" applyBorder="1" applyAlignment="1"/>
    <xf numFmtId="6" fontId="7" fillId="0" borderId="37" xfId="1" applyNumberFormat="1" applyFont="1" applyBorder="1" applyAlignment="1">
      <alignment horizontal="center"/>
    </xf>
    <xf numFmtId="0" fontId="7" fillId="0" borderId="37" xfId="1" applyFont="1" applyBorder="1" applyAlignment="1">
      <alignment horizontal="center"/>
    </xf>
    <xf numFmtId="9" fontId="7" fillId="0" borderId="37" xfId="1" applyNumberFormat="1" applyFont="1" applyBorder="1" applyAlignment="1">
      <alignment horizontal="center"/>
    </xf>
    <xf numFmtId="0" fontId="7" fillId="0" borderId="38" xfId="1" applyFont="1" applyBorder="1" applyAlignment="1">
      <alignment horizontal="center"/>
    </xf>
    <xf numFmtId="0" fontId="7" fillId="0" borderId="42" xfId="1" applyFont="1" applyBorder="1" applyAlignment="1">
      <alignment horizontal="right"/>
    </xf>
    <xf numFmtId="0" fontId="7" fillId="0" borderId="0" xfId="1" applyFont="1" applyBorder="1" applyAlignment="1">
      <alignment horizont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/>
    </xf>
    <xf numFmtId="0" fontId="8" fillId="0" borderId="42" xfId="1" applyFont="1" applyBorder="1" applyAlignment="1">
      <alignment vertical="center"/>
    </xf>
    <xf numFmtId="9" fontId="7" fillId="0" borderId="43" xfId="1" applyNumberFormat="1" applyFont="1" applyBorder="1" applyAlignment="1">
      <alignment horizontal="center"/>
    </xf>
    <xf numFmtId="0" fontId="5" fillId="0" borderId="0" xfId="8" applyAlignment="1">
      <alignment horizontal="center"/>
    </xf>
    <xf numFmtId="0" fontId="5" fillId="0" borderId="0" xfId="8" applyAlignment="1">
      <alignment horizontal="center" vertical="center" textRotation="90"/>
    </xf>
  </cellXfs>
  <cellStyles count="12">
    <cellStyle name="Comma" xfId="2" builtinId="3"/>
    <cellStyle name="Comma 2" xfId="4" xr:uid="{670F1EB5-B515-423B-A658-6DF9F6A6C0A7}"/>
    <cellStyle name="Comma 3" xfId="7" xr:uid="{4744B1FC-65DB-41C0-8033-6654C45CD065}"/>
    <cellStyle name="Comma 4" xfId="9" xr:uid="{F92C5A9F-92BF-41D1-AE29-E1A462E794CD}"/>
    <cellStyle name="Currency 2" xfId="5" xr:uid="{3F698194-9B53-43CB-95D7-F6E7052595B9}"/>
    <cellStyle name="Normal" xfId="0" builtinId="0"/>
    <cellStyle name="Normal 2" xfId="1" xr:uid="{00000000-0005-0000-0000-000001000000}"/>
    <cellStyle name="Normal 3" xfId="3" xr:uid="{3F6848C3-8C06-4D0D-AFCC-4AD29BADD754}"/>
    <cellStyle name="Normal 4" xfId="6" xr:uid="{210D67B5-2513-4975-8406-A43FC9540AB0}"/>
    <cellStyle name="Normal 5" xfId="8" xr:uid="{BB2D3C40-10CB-4637-B6A7-89A3616F4426}"/>
    <cellStyle name="Normal 6" xfId="11" xr:uid="{C8998FCE-AEBD-4816-B8F1-933AE3A86B4B}"/>
    <cellStyle name="Percent" xfId="10" builtinId="5"/>
  </cellStyles>
  <dxfs count="4">
    <dxf>
      <font>
        <color rgb="FFFF0000"/>
      </font>
    </dxf>
    <dxf>
      <font>
        <strike val="0"/>
        <color theme="0" tint="-0.14996795556505021"/>
      </font>
      <fill>
        <patternFill>
          <bgColor theme="0"/>
        </patternFill>
      </fill>
    </dxf>
    <dxf>
      <font>
        <color rgb="FFFF0000"/>
      </font>
    </dxf>
    <dxf>
      <font>
        <strike val="0"/>
        <color theme="0" tint="-0.1499679555650502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F7E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29524</xdr:rowOff>
    </xdr:from>
    <xdr:to>
      <xdr:col>2</xdr:col>
      <xdr:colOff>1419226</xdr:colOff>
      <xdr:row>6</xdr:row>
      <xdr:rowOff>91400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747CF-2C1B-4D89-9B5D-962C64D0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200974"/>
          <a:ext cx="2095500" cy="9191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5</xdr:col>
      <xdr:colOff>561975</xdr:colOff>
      <xdr:row>5</xdr:row>
      <xdr:rowOff>147601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A18A7-FD80-47B4-83AE-21B43EC4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28600"/>
          <a:ext cx="2095500" cy="91912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5</xdr:col>
      <xdr:colOff>561975</xdr:colOff>
      <xdr:row>5</xdr:row>
      <xdr:rowOff>138076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6BAA01-254E-4D8D-A62F-81CFD1A45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19075"/>
          <a:ext cx="2095500" cy="9191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6</xdr:col>
      <xdr:colOff>561975</xdr:colOff>
      <xdr:row>6</xdr:row>
      <xdr:rowOff>42826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A0E6E-5EDF-42A6-8A5B-9E251E4A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9550"/>
          <a:ext cx="2095500" cy="9191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4DAC3-D09F-4131-BC7F-43CED206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9525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AF7ED-28D5-43F3-8A7B-8E5F60EC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19050</xdr:rowOff>
    </xdr:from>
    <xdr:to>
      <xdr:col>2</xdr:col>
      <xdr:colOff>1504950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318EF-4005-45EB-B855-86D20AF3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5</xdr:col>
      <xdr:colOff>552450</xdr:colOff>
      <xdr:row>5</xdr:row>
      <xdr:rowOff>147601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44B92-37BA-46C9-8BCD-5DB37AEF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28600"/>
          <a:ext cx="2095500" cy="9191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5</xdr:col>
      <xdr:colOff>561975</xdr:colOff>
      <xdr:row>5</xdr:row>
      <xdr:rowOff>138076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B65EB-D0A0-4DB6-9BD1-770F8C02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9075"/>
          <a:ext cx="2095500" cy="9191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6</xdr:col>
      <xdr:colOff>552450</xdr:colOff>
      <xdr:row>6</xdr:row>
      <xdr:rowOff>42826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3964A-F0DB-418E-9A33-EB8C4109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09550"/>
          <a:ext cx="2095500" cy="9191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8D2EF-98B7-419C-8B4C-7743C96E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2</xdr:col>
      <xdr:colOff>523875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FF020-CB08-4CDE-8A22-C900F029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6</xdr:col>
      <xdr:colOff>561975</xdr:colOff>
      <xdr:row>6</xdr:row>
      <xdr:rowOff>33301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413C7-FC8D-472A-90FC-CD877079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3</xdr:col>
      <xdr:colOff>485775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3C7F0-ADC0-4B98-B694-8DB36276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90500"/>
          <a:ext cx="2095500" cy="91912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</xdr:row>
      <xdr:rowOff>57150</xdr:rowOff>
    </xdr:from>
    <xdr:to>
      <xdr:col>3</xdr:col>
      <xdr:colOff>802778</xdr:colOff>
      <xdr:row>10</xdr:row>
      <xdr:rowOff>123396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818463-C574-4934-9765-DFDF759C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0" y="1085850"/>
          <a:ext cx="917078" cy="752046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7</xdr:row>
      <xdr:rowOff>19050</xdr:rowOff>
    </xdr:from>
    <xdr:to>
      <xdr:col>5</xdr:col>
      <xdr:colOff>71473</xdr:colOff>
      <xdr:row>10</xdr:row>
      <xdr:rowOff>104345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0A2A45-7CCE-49E3-8FDC-6D36ED3B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1750" y="1219200"/>
          <a:ext cx="947773" cy="59964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38099</xdr:rowOff>
    </xdr:from>
    <xdr:to>
      <xdr:col>6</xdr:col>
      <xdr:colOff>28022</xdr:colOff>
      <xdr:row>10</xdr:row>
      <xdr:rowOff>75770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A2BB4DD-C6F4-40CD-B7A5-B403BEE5B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5201" y="1238249"/>
          <a:ext cx="780496" cy="552021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790576</xdr:colOff>
      <xdr:row>6</xdr:row>
      <xdr:rowOff>161924</xdr:rowOff>
    </xdr:from>
    <xdr:to>
      <xdr:col>7</xdr:col>
      <xdr:colOff>103696</xdr:colOff>
      <xdr:row>10</xdr:row>
      <xdr:rowOff>85295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E9588B7-4045-42EC-ABBD-414BDE4D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8626" y="1190624"/>
          <a:ext cx="932370" cy="60917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8</xdr:row>
      <xdr:rowOff>66674</xdr:rowOff>
    </xdr:from>
    <xdr:to>
      <xdr:col>8</xdr:col>
      <xdr:colOff>40424</xdr:colOff>
      <xdr:row>10</xdr:row>
      <xdr:rowOff>104345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4CEC73E-3FC2-469B-A333-004FF928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62550" y="1438274"/>
          <a:ext cx="754799" cy="380571"/>
        </a:xfrm>
        <a:prstGeom prst="rect">
          <a:avLst/>
        </a:prstGeom>
      </xdr:spPr>
    </xdr:pic>
    <xdr:clientData/>
  </xdr:twoCellAnchor>
  <xdr:twoCellAnchor editAs="oneCell">
    <xdr:from>
      <xdr:col>10</xdr:col>
      <xdr:colOff>1381126</xdr:colOff>
      <xdr:row>7</xdr:row>
      <xdr:rowOff>28575</xdr:rowOff>
    </xdr:from>
    <xdr:to>
      <xdr:col>12</xdr:col>
      <xdr:colOff>702514</xdr:colOff>
      <xdr:row>10</xdr:row>
      <xdr:rowOff>85296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6872E12-6C66-4BBB-A2D3-D484AD517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05701" y="1228725"/>
          <a:ext cx="997788" cy="571071"/>
        </a:xfrm>
        <a:prstGeom prst="rect">
          <a:avLst/>
        </a:prstGeom>
      </xdr:spPr>
    </xdr:pic>
    <xdr:clientData/>
  </xdr:twoCellAnchor>
  <xdr:twoCellAnchor editAs="oneCell">
    <xdr:from>
      <xdr:col>12</xdr:col>
      <xdr:colOff>714377</xdr:colOff>
      <xdr:row>7</xdr:row>
      <xdr:rowOff>28575</xdr:rowOff>
    </xdr:from>
    <xdr:to>
      <xdr:col>13</xdr:col>
      <xdr:colOff>703635</xdr:colOff>
      <xdr:row>10</xdr:row>
      <xdr:rowOff>104775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54942F-2765-4EF4-8ECE-FAC53A04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15352" y="1228725"/>
          <a:ext cx="798883" cy="590550"/>
        </a:xfrm>
        <a:prstGeom prst="rect">
          <a:avLst/>
        </a:prstGeom>
      </xdr:spPr>
    </xdr:pic>
    <xdr:clientData/>
  </xdr:twoCellAnchor>
  <xdr:twoCellAnchor editAs="oneCell">
    <xdr:from>
      <xdr:col>13</xdr:col>
      <xdr:colOff>685800</xdr:colOff>
      <xdr:row>7</xdr:row>
      <xdr:rowOff>28575</xdr:rowOff>
    </xdr:from>
    <xdr:to>
      <xdr:col>15</xdr:col>
      <xdr:colOff>9073</xdr:colOff>
      <xdr:row>10</xdr:row>
      <xdr:rowOff>123396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78F8D12-4A7B-4752-AD3F-C4B6413A6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96400" y="1228725"/>
          <a:ext cx="942523" cy="6091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689120</xdr:colOff>
      <xdr:row>10</xdr:row>
      <xdr:rowOff>123396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6B93007-5C76-41CB-8420-BD0F6CA80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29850" y="1200150"/>
          <a:ext cx="689120" cy="637746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8</xdr:row>
      <xdr:rowOff>19051</xdr:rowOff>
    </xdr:from>
    <xdr:to>
      <xdr:col>16</xdr:col>
      <xdr:colOff>713617</xdr:colOff>
      <xdr:row>10</xdr:row>
      <xdr:rowOff>68685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C179886-3AC4-407F-A13E-9FD8CDCB2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58525" y="1390651"/>
          <a:ext cx="694567" cy="392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1</xdr:col>
      <xdr:colOff>2124075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DB91D-F96F-4E80-A78A-AD171087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247650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395FD-B0D9-4749-9206-CE6384E4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28575</xdr:rowOff>
    </xdr:from>
    <xdr:to>
      <xdr:col>3</xdr:col>
      <xdr:colOff>504825</xdr:colOff>
      <xdr:row>6</xdr:row>
      <xdr:rowOff>90451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F7D29-F3A8-46E1-BFF5-ACBE76B6E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0025"/>
          <a:ext cx="2095500" cy="9191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10</xdr:col>
      <xdr:colOff>647700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56658-0437-405A-80C1-9AB0B5D2B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3</xdr:col>
      <xdr:colOff>9525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285C3-5819-4D40-93DB-5CF34A760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2</xdr:col>
      <xdr:colOff>1514475</xdr:colOff>
      <xdr:row>6</xdr:row>
      <xdr:rowOff>80926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44D19-FFE9-4068-B3C1-01D30CC5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90500"/>
          <a:ext cx="2095500" cy="9191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9254\OneDrive\Columbia%20MSRED\General\Practice%20Case%20Studies\Development\Astoria%20Ground-Up%20Rental%20-%202019-10-08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puts"/>
      <sheetName val="Pro Forma"/>
      <sheetName val="Waterfall"/>
      <sheetName val="Development Budget"/>
    </sheetNames>
    <sheetDataSet>
      <sheetData sheetId="0">
        <row r="6">
          <cell r="I6">
            <v>251.22542177956922</v>
          </cell>
          <cell r="J6">
            <v>177.95705303120181</v>
          </cell>
          <cell r="K6">
            <v>278.58602117253758</v>
          </cell>
        </row>
        <row r="13">
          <cell r="D13">
            <v>43100</v>
          </cell>
        </row>
        <row r="14">
          <cell r="M14" t="str">
            <v>Vacancy</v>
          </cell>
          <cell r="R14">
            <v>0.05</v>
          </cell>
        </row>
        <row r="22">
          <cell r="I22"/>
          <cell r="K22">
            <v>0.7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1E63-98E0-44DA-AECF-9EEE833DAE61}">
  <dimension ref="A1:S34"/>
  <sheetViews>
    <sheetView workbookViewId="0">
      <selection activeCell="N4" sqref="N4"/>
    </sheetView>
  </sheetViews>
  <sheetFormatPr defaultRowHeight="14.4"/>
  <cols>
    <col min="1" max="1" width="26.109375" style="647" customWidth="1"/>
    <col min="2" max="2" width="2.77734375" style="647" customWidth="1"/>
    <col min="3" max="3" width="2.44140625" style="647" customWidth="1"/>
    <col min="4" max="4" width="19" style="647" bestFit="1" customWidth="1"/>
    <col min="5" max="9" width="8.88671875" style="647"/>
    <col min="10" max="10" width="10.33203125" style="647" bestFit="1" customWidth="1"/>
    <col min="11" max="11" width="10.109375" style="647" bestFit="1" customWidth="1"/>
    <col min="12" max="12" width="15.6640625" style="647" bestFit="1" customWidth="1"/>
    <col min="13" max="13" width="12" style="647" bestFit="1" customWidth="1"/>
    <col min="14" max="18" width="8.88671875" style="647"/>
    <col min="19" max="19" width="15.6640625" style="647" bestFit="1" customWidth="1"/>
    <col min="20" max="16384" width="8.88671875" style="647"/>
  </cols>
  <sheetData>
    <row r="1" spans="1:19">
      <c r="A1" s="647" t="s">
        <v>830</v>
      </c>
      <c r="E1" s="657" t="s">
        <v>20</v>
      </c>
      <c r="F1" s="657"/>
      <c r="G1" s="657"/>
      <c r="H1" s="657"/>
      <c r="I1" s="657"/>
      <c r="J1" s="657"/>
      <c r="K1" s="657"/>
      <c r="L1" s="657"/>
      <c r="N1" s="657" t="s">
        <v>445</v>
      </c>
      <c r="O1" s="657"/>
      <c r="P1" s="657"/>
      <c r="Q1" s="657"/>
      <c r="R1" s="657"/>
      <c r="S1" s="657"/>
    </row>
    <row r="2" spans="1:19">
      <c r="A2" s="647" t="s">
        <v>831</v>
      </c>
      <c r="D2" s="647" t="s">
        <v>832</v>
      </c>
      <c r="E2" s="647" t="s">
        <v>833</v>
      </c>
      <c r="F2" s="647" t="s">
        <v>834</v>
      </c>
      <c r="G2" s="647" t="s">
        <v>835</v>
      </c>
      <c r="H2" s="647" t="s">
        <v>836</v>
      </c>
      <c r="I2" s="647" t="s">
        <v>837</v>
      </c>
      <c r="J2" s="647" t="s">
        <v>838</v>
      </c>
      <c r="K2" s="647" t="s">
        <v>839</v>
      </c>
      <c r="L2" s="647" t="s">
        <v>840</v>
      </c>
      <c r="N2" s="647" t="s">
        <v>833</v>
      </c>
      <c r="O2" s="647" t="s">
        <v>834</v>
      </c>
      <c r="P2" s="647" t="s">
        <v>835</v>
      </c>
      <c r="Q2" s="647" t="s">
        <v>841</v>
      </c>
      <c r="R2" s="647" t="s">
        <v>842</v>
      </c>
      <c r="S2" s="647" t="s">
        <v>840</v>
      </c>
    </row>
    <row r="3" spans="1:19">
      <c r="A3" s="647" t="s">
        <v>843</v>
      </c>
    </row>
    <row r="4" spans="1:19">
      <c r="D4" s="647">
        <f>D3+1</f>
        <v>1</v>
      </c>
      <c r="E4" s="648">
        <v>22450</v>
      </c>
      <c r="F4" s="648">
        <v>23917</v>
      </c>
      <c r="G4" s="648">
        <v>18235</v>
      </c>
      <c r="H4" s="648">
        <v>16290</v>
      </c>
      <c r="I4" s="648">
        <v>13422</v>
      </c>
      <c r="J4" s="648">
        <v>44261</v>
      </c>
      <c r="K4" s="648">
        <v>17532</v>
      </c>
      <c r="L4" s="648">
        <v>30090</v>
      </c>
      <c r="N4" s="648">
        <v>54048</v>
      </c>
      <c r="O4" s="648">
        <v>22978</v>
      </c>
      <c r="P4" s="648">
        <v>25929</v>
      </c>
      <c r="Q4" s="648">
        <v>63537</v>
      </c>
      <c r="R4" s="648">
        <v>42605</v>
      </c>
      <c r="S4" s="648">
        <v>18464</v>
      </c>
    </row>
    <row r="5" spans="1:19">
      <c r="A5" s="647" t="s">
        <v>844</v>
      </c>
      <c r="D5" s="647">
        <f t="shared" ref="D5:D28" si="0">D4+1</f>
        <v>2</v>
      </c>
      <c r="E5" s="648">
        <v>22450</v>
      </c>
      <c r="F5" s="648">
        <v>23917</v>
      </c>
      <c r="G5" s="648">
        <v>18235</v>
      </c>
      <c r="H5" s="648">
        <v>16290</v>
      </c>
      <c r="I5" s="648">
        <v>13422</v>
      </c>
      <c r="J5" s="648">
        <v>32450</v>
      </c>
      <c r="K5" s="648">
        <v>15686</v>
      </c>
      <c r="L5" s="648">
        <v>15960</v>
      </c>
      <c r="N5" s="648">
        <v>55628</v>
      </c>
      <c r="O5" s="648">
        <v>22545</v>
      </c>
      <c r="P5" s="648">
        <v>25252</v>
      </c>
      <c r="Q5" s="648">
        <v>63537</v>
      </c>
      <c r="R5" s="648">
        <v>41986</v>
      </c>
      <c r="S5" s="648">
        <v>30891</v>
      </c>
    </row>
    <row r="6" spans="1:19">
      <c r="A6" s="649" t="s">
        <v>845</v>
      </c>
      <c r="D6" s="647">
        <f t="shared" si="0"/>
        <v>3</v>
      </c>
      <c r="E6" s="648">
        <v>21592</v>
      </c>
      <c r="F6" s="648">
        <v>23917</v>
      </c>
      <c r="G6" s="648">
        <v>18235</v>
      </c>
      <c r="H6" s="648">
        <v>16290</v>
      </c>
      <c r="I6" s="648">
        <v>13422</v>
      </c>
      <c r="J6" s="648">
        <v>32450</v>
      </c>
      <c r="K6" s="648">
        <v>31891</v>
      </c>
      <c r="L6" s="648">
        <v>18065</v>
      </c>
      <c r="N6" s="648">
        <v>55595</v>
      </c>
      <c r="O6" s="648">
        <v>18017</v>
      </c>
      <c r="P6" s="648">
        <v>21610</v>
      </c>
      <c r="Q6" s="648">
        <v>29175</v>
      </c>
      <c r="R6" s="648">
        <v>34386</v>
      </c>
      <c r="S6" s="648">
        <v>14950</v>
      </c>
    </row>
    <row r="7" spans="1:19">
      <c r="A7" s="649" t="s">
        <v>846</v>
      </c>
      <c r="D7" s="647">
        <f t="shared" si="0"/>
        <v>4</v>
      </c>
      <c r="E7" s="648">
        <v>20902</v>
      </c>
      <c r="F7" s="648">
        <v>23917</v>
      </c>
      <c r="G7" s="648">
        <v>18235</v>
      </c>
      <c r="H7" s="648">
        <v>16290</v>
      </c>
      <c r="I7" s="648">
        <v>13422</v>
      </c>
      <c r="J7" s="648"/>
      <c r="L7" s="648">
        <v>48060</v>
      </c>
      <c r="N7" s="648">
        <v>55595</v>
      </c>
      <c r="O7" s="648">
        <v>17943</v>
      </c>
      <c r="P7" s="648">
        <v>21876</v>
      </c>
      <c r="Q7" s="648">
        <v>29175</v>
      </c>
      <c r="R7" s="648">
        <v>34265</v>
      </c>
      <c r="S7" s="648">
        <v>19818</v>
      </c>
    </row>
    <row r="8" spans="1:19">
      <c r="A8" s="649" t="s">
        <v>847</v>
      </c>
      <c r="D8" s="647">
        <f t="shared" si="0"/>
        <v>5</v>
      </c>
      <c r="E8" s="648">
        <v>20428</v>
      </c>
      <c r="F8" s="648">
        <v>23917</v>
      </c>
      <c r="G8" s="648">
        <v>18235</v>
      </c>
      <c r="H8" s="648">
        <v>16290</v>
      </c>
      <c r="I8" s="648">
        <v>13422</v>
      </c>
      <c r="J8" s="648"/>
      <c r="N8" s="648">
        <v>55595</v>
      </c>
      <c r="O8" s="648">
        <v>17943</v>
      </c>
      <c r="P8" s="648">
        <v>20885</v>
      </c>
      <c r="Q8" s="648">
        <v>29175</v>
      </c>
      <c r="R8" s="648">
        <v>34386</v>
      </c>
    </row>
    <row r="9" spans="1:19">
      <c r="A9" s="647" t="s">
        <v>848</v>
      </c>
      <c r="D9" s="647">
        <f t="shared" si="0"/>
        <v>6</v>
      </c>
      <c r="E9" s="648">
        <v>20121</v>
      </c>
      <c r="F9" s="648">
        <v>23917</v>
      </c>
      <c r="G9" s="648">
        <v>18235</v>
      </c>
      <c r="H9" s="648">
        <v>16290</v>
      </c>
      <c r="I9" s="648">
        <v>13422</v>
      </c>
      <c r="J9" s="648"/>
      <c r="N9" s="648">
        <v>28762</v>
      </c>
      <c r="O9" s="648">
        <v>17943</v>
      </c>
      <c r="P9" s="648">
        <v>13883</v>
      </c>
      <c r="Q9" s="648">
        <v>29175</v>
      </c>
      <c r="R9" s="648">
        <v>28600</v>
      </c>
    </row>
    <row r="10" spans="1:19">
      <c r="A10" s="647" t="s">
        <v>849</v>
      </c>
      <c r="D10" s="647">
        <f t="shared" si="0"/>
        <v>7</v>
      </c>
      <c r="E10" s="648">
        <v>20121</v>
      </c>
      <c r="H10" s="648">
        <v>31036</v>
      </c>
      <c r="I10" s="648">
        <v>9466</v>
      </c>
      <c r="J10" s="648"/>
      <c r="N10" s="648">
        <v>19611</v>
      </c>
      <c r="O10" s="648">
        <v>17943</v>
      </c>
      <c r="P10" s="648">
        <v>12401</v>
      </c>
      <c r="Q10" s="648">
        <v>29175</v>
      </c>
      <c r="R10" s="648">
        <v>28468</v>
      </c>
    </row>
    <row r="11" spans="1:19">
      <c r="A11" s="650" t="s">
        <v>850</v>
      </c>
      <c r="D11" s="647">
        <f t="shared" si="0"/>
        <v>8</v>
      </c>
      <c r="E11" s="648">
        <v>20121</v>
      </c>
      <c r="H11" s="648">
        <v>16290</v>
      </c>
      <c r="I11" s="648">
        <v>9159</v>
      </c>
      <c r="J11" s="648"/>
      <c r="N11" s="648">
        <v>19611</v>
      </c>
      <c r="O11" s="648">
        <v>15458</v>
      </c>
      <c r="P11" s="648">
        <v>11745</v>
      </c>
      <c r="Q11" s="648">
        <v>29175</v>
      </c>
    </row>
    <row r="12" spans="1:19">
      <c r="A12" s="647" t="s">
        <v>851</v>
      </c>
      <c r="D12" s="647">
        <f t="shared" si="0"/>
        <v>9</v>
      </c>
      <c r="E12" s="648">
        <v>20121</v>
      </c>
      <c r="H12" s="648">
        <v>16290</v>
      </c>
      <c r="I12" s="648">
        <v>8971</v>
      </c>
      <c r="J12" s="648"/>
      <c r="N12" s="648">
        <v>19611</v>
      </c>
      <c r="O12" s="648">
        <v>15458</v>
      </c>
      <c r="P12" s="648">
        <v>10073</v>
      </c>
      <c r="Q12" s="648">
        <v>19917</v>
      </c>
    </row>
    <row r="13" spans="1:19">
      <c r="A13" s="647" t="s">
        <v>852</v>
      </c>
      <c r="D13" s="647">
        <f t="shared" si="0"/>
        <v>10</v>
      </c>
      <c r="E13" s="648">
        <v>20121</v>
      </c>
      <c r="H13" s="648">
        <v>16290</v>
      </c>
      <c r="I13" s="648">
        <v>8940</v>
      </c>
      <c r="J13" s="648"/>
      <c r="N13" s="648">
        <v>16416</v>
      </c>
      <c r="O13" s="648">
        <v>15458</v>
      </c>
      <c r="Q13" s="648">
        <v>19917</v>
      </c>
    </row>
    <row r="14" spans="1:19">
      <c r="D14" s="647">
        <f t="shared" si="0"/>
        <v>11</v>
      </c>
      <c r="E14" s="648">
        <v>20121</v>
      </c>
      <c r="H14" s="648">
        <v>7080</v>
      </c>
      <c r="I14" s="648">
        <v>8903</v>
      </c>
      <c r="J14" s="648"/>
      <c r="N14" s="648">
        <v>16416</v>
      </c>
      <c r="Q14" s="648">
        <v>19917</v>
      </c>
    </row>
    <row r="15" spans="1:19">
      <c r="A15" s="647" t="s">
        <v>853</v>
      </c>
      <c r="D15" s="647">
        <f t="shared" si="0"/>
        <v>12</v>
      </c>
      <c r="E15" s="648">
        <v>20121</v>
      </c>
      <c r="H15" s="648">
        <v>7292</v>
      </c>
      <c r="I15" s="648">
        <v>8903</v>
      </c>
      <c r="J15" s="648"/>
      <c r="N15" s="648">
        <v>16416</v>
      </c>
      <c r="Q15" s="648">
        <v>19917</v>
      </c>
    </row>
    <row r="16" spans="1:19">
      <c r="A16" s="649" t="s">
        <v>854</v>
      </c>
      <c r="D16" s="647">
        <f t="shared" si="0"/>
        <v>13</v>
      </c>
      <c r="E16" s="648">
        <v>20121</v>
      </c>
      <c r="H16" s="648">
        <v>6966</v>
      </c>
      <c r="N16" s="648">
        <v>16416</v>
      </c>
      <c r="Q16" s="648">
        <v>19917</v>
      </c>
    </row>
    <row r="17" spans="1:19">
      <c r="A17" s="649" t="s">
        <v>855</v>
      </c>
      <c r="D17" s="647">
        <f t="shared" si="0"/>
        <v>14</v>
      </c>
      <c r="E17" s="648">
        <v>20121</v>
      </c>
      <c r="H17" s="648">
        <v>7164</v>
      </c>
      <c r="N17" s="648">
        <v>19611</v>
      </c>
      <c r="Q17" s="648">
        <v>19917</v>
      </c>
    </row>
    <row r="18" spans="1:19">
      <c r="A18" s="649" t="s">
        <v>856</v>
      </c>
      <c r="D18" s="647">
        <f t="shared" si="0"/>
        <v>15</v>
      </c>
      <c r="H18" s="648">
        <v>6974</v>
      </c>
      <c r="N18" s="648">
        <v>19611</v>
      </c>
      <c r="Q18" s="648">
        <v>19917</v>
      </c>
    </row>
    <row r="19" spans="1:19">
      <c r="A19" s="649" t="s">
        <v>857</v>
      </c>
      <c r="D19" s="647">
        <f t="shared" si="0"/>
        <v>16</v>
      </c>
      <c r="H19" s="648">
        <v>7179</v>
      </c>
      <c r="N19" s="648">
        <v>19611</v>
      </c>
      <c r="Q19" s="648">
        <v>19917</v>
      </c>
    </row>
    <row r="20" spans="1:19">
      <c r="D20" s="647">
        <f t="shared" si="0"/>
        <v>17</v>
      </c>
      <c r="N20" s="648">
        <v>19611</v>
      </c>
      <c r="Q20" s="648">
        <v>19917</v>
      </c>
    </row>
    <row r="21" spans="1:19">
      <c r="A21" s="647" t="s">
        <v>858</v>
      </c>
      <c r="D21" s="647">
        <f t="shared" si="0"/>
        <v>18</v>
      </c>
      <c r="N21" s="648">
        <v>19611</v>
      </c>
      <c r="Q21" s="648">
        <v>19917</v>
      </c>
    </row>
    <row r="22" spans="1:19">
      <c r="A22" s="649" t="s">
        <v>859</v>
      </c>
      <c r="D22" s="647">
        <f t="shared" si="0"/>
        <v>19</v>
      </c>
      <c r="Q22" s="648">
        <v>19917</v>
      </c>
    </row>
    <row r="23" spans="1:19">
      <c r="A23" s="649" t="s">
        <v>860</v>
      </c>
      <c r="D23" s="647">
        <f t="shared" si="0"/>
        <v>20</v>
      </c>
      <c r="Q23" s="648">
        <v>19917</v>
      </c>
    </row>
    <row r="24" spans="1:19">
      <c r="A24" s="649" t="s">
        <v>671</v>
      </c>
      <c r="D24" s="647">
        <f t="shared" si="0"/>
        <v>21</v>
      </c>
      <c r="Q24" s="648">
        <v>19917</v>
      </c>
    </row>
    <row r="25" spans="1:19">
      <c r="A25" s="649" t="s">
        <v>861</v>
      </c>
      <c r="D25" s="647">
        <f t="shared" si="0"/>
        <v>22</v>
      </c>
      <c r="Q25" s="648">
        <v>19917</v>
      </c>
    </row>
    <row r="26" spans="1:19">
      <c r="A26" s="649" t="s">
        <v>862</v>
      </c>
      <c r="D26" s="647">
        <f t="shared" si="0"/>
        <v>23</v>
      </c>
      <c r="Q26" s="648">
        <v>19917</v>
      </c>
    </row>
    <row r="27" spans="1:19">
      <c r="D27" s="647">
        <f t="shared" si="0"/>
        <v>24</v>
      </c>
      <c r="Q27" s="648">
        <v>19917</v>
      </c>
    </row>
    <row r="28" spans="1:19">
      <c r="A28" s="647" t="s">
        <v>788</v>
      </c>
      <c r="D28" s="647">
        <f t="shared" si="0"/>
        <v>25</v>
      </c>
    </row>
    <row r="29" spans="1:19">
      <c r="A29" s="647" t="s">
        <v>784</v>
      </c>
      <c r="D29" s="647" t="s">
        <v>738</v>
      </c>
      <c r="E29" s="648">
        <f t="shared" ref="E29:L29" si="1">SUM(E4:E28)</f>
        <v>288911</v>
      </c>
      <c r="F29" s="648">
        <f t="shared" si="1"/>
        <v>143502</v>
      </c>
      <c r="G29" s="648">
        <f t="shared" si="1"/>
        <v>109410</v>
      </c>
      <c r="H29" s="648">
        <f t="shared" si="1"/>
        <v>220301</v>
      </c>
      <c r="I29" s="648">
        <f t="shared" si="1"/>
        <v>134874</v>
      </c>
      <c r="J29" s="648">
        <f t="shared" si="1"/>
        <v>109161</v>
      </c>
      <c r="K29" s="648">
        <f t="shared" si="1"/>
        <v>65109</v>
      </c>
      <c r="L29" s="648">
        <f t="shared" si="1"/>
        <v>112175</v>
      </c>
      <c r="M29" s="648"/>
      <c r="N29" s="648">
        <f t="shared" ref="N29:S29" si="2">SUM(N4:N28)</f>
        <v>527775</v>
      </c>
      <c r="O29" s="648">
        <f t="shared" si="2"/>
        <v>181686</v>
      </c>
      <c r="P29" s="648">
        <f t="shared" si="2"/>
        <v>163654</v>
      </c>
      <c r="Q29" s="648">
        <f t="shared" si="2"/>
        <v>620796</v>
      </c>
      <c r="R29" s="648">
        <f t="shared" si="2"/>
        <v>244696</v>
      </c>
      <c r="S29" s="648">
        <f t="shared" si="2"/>
        <v>84123</v>
      </c>
    </row>
    <row r="30" spans="1:19">
      <c r="A30" s="647" t="s">
        <v>863</v>
      </c>
    </row>
    <row r="31" spans="1:19" ht="15" thickBot="1"/>
    <row r="32" spans="1:19" ht="15" thickBot="1">
      <c r="D32" s="651" t="s">
        <v>542</v>
      </c>
      <c r="E32" s="652">
        <f>SUM(E29:L29)</f>
        <v>1183443</v>
      </c>
      <c r="M32" s="651" t="s">
        <v>864</v>
      </c>
      <c r="N32" s="652">
        <f>SUM(N29:S29)</f>
        <v>1822730</v>
      </c>
    </row>
    <row r="33" spans="4:10" ht="15" thickBot="1">
      <c r="H33" s="648">
        <f>SUM(H29:I29)</f>
        <v>355175</v>
      </c>
      <c r="J33" s="648">
        <f>SUM(J29:K29)</f>
        <v>174270</v>
      </c>
    </row>
    <row r="34" spans="4:10" ht="15" thickBot="1">
      <c r="D34" s="651" t="s">
        <v>865</v>
      </c>
      <c r="E34" s="652">
        <f>E32+N32</f>
        <v>3006173</v>
      </c>
    </row>
  </sheetData>
  <mergeCells count="2">
    <mergeCell ref="E1:L1"/>
    <mergeCell ref="N1:S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F6B42-0E16-4D33-BBFF-528228E41ED4}">
  <sheetPr>
    <tabColor rgb="FF002060"/>
    <pageSetUpPr fitToPage="1"/>
  </sheetPr>
  <dimension ref="A1:FG78"/>
  <sheetViews>
    <sheetView showGridLines="0" view="pageBreakPreview" zoomScale="70" zoomScaleNormal="100" zoomScaleSheetLayoutView="70" workbookViewId="0">
      <pane xSplit="4" ySplit="13" topLeftCell="E14" activePane="bottomRight" state="frozen"/>
      <selection activeCell="O21" sqref="O21"/>
      <selection pane="topRight" activeCell="O21" sqref="O21"/>
      <selection pane="bottomLeft" activeCell="O21" sqref="O21"/>
      <selection pane="bottomRight" activeCell="E14" sqref="E14"/>
    </sheetView>
  </sheetViews>
  <sheetFormatPr defaultRowHeight="13.2"/>
  <cols>
    <col min="1" max="1" width="1.77734375" customWidth="1"/>
    <col min="3" max="3" width="23.88671875" customWidth="1"/>
    <col min="4" max="4" width="14.77734375" bestFit="1" customWidth="1"/>
    <col min="5" max="5" width="2.6640625" customWidth="1"/>
    <col min="6" max="8" width="12.77734375" bestFit="1" customWidth="1"/>
    <col min="9" max="9" width="15.109375" bestFit="1" customWidth="1"/>
    <col min="10" max="36" width="14.44140625" bestFit="1" customWidth="1"/>
    <col min="37" max="54" width="11.77734375" style="104" bestFit="1" customWidth="1"/>
    <col min="55" max="134" width="8.88671875" style="104"/>
    <col min="135" max="137" width="10.109375" style="104" bestFit="1" customWidth="1"/>
    <col min="138" max="16384" width="8.88671875" style="104"/>
  </cols>
  <sheetData>
    <row r="1" spans="1:163" s="100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163" s="100" customForma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163" s="100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163" s="100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163" s="100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163" s="100" customForma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163" s="100" customForma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163" s="100" customFormat="1">
      <c r="A8"/>
      <c r="B8" s="445" t="s">
        <v>762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163" s="100" customForma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63" s="100" customFormat="1" ht="15" thickBot="1">
      <c r="A10"/>
      <c r="B10" s="183" t="s">
        <v>471</v>
      </c>
      <c r="C10" s="184"/>
      <c r="D10" s="184"/>
      <c r="E10" s="184"/>
      <c r="F10" s="184"/>
      <c r="G10" s="184"/>
      <c r="H10" s="185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</row>
    <row r="11" spans="1:163" s="100" customForma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63" s="100" customFormat="1">
      <c r="A12"/>
      <c r="B12" s="1" t="s">
        <v>407</v>
      </c>
      <c r="C12"/>
      <c r="D12"/>
      <c r="E12"/>
      <c r="F12" s="220">
        <v>0</v>
      </c>
      <c r="G12" s="220">
        <f>F12+1</f>
        <v>1</v>
      </c>
      <c r="H12" s="220">
        <f t="shared" ref="H12:R13" si="0">G12+1</f>
        <v>2</v>
      </c>
      <c r="I12" s="220">
        <f t="shared" si="0"/>
        <v>3</v>
      </c>
      <c r="J12" s="220">
        <f t="shared" si="0"/>
        <v>4</v>
      </c>
      <c r="K12" s="220">
        <f t="shared" si="0"/>
        <v>5</v>
      </c>
      <c r="L12" s="220">
        <f t="shared" si="0"/>
        <v>6</v>
      </c>
      <c r="M12" s="220">
        <f t="shared" si="0"/>
        <v>7</v>
      </c>
      <c r="N12" s="220">
        <f t="shared" si="0"/>
        <v>8</v>
      </c>
      <c r="O12" s="220">
        <f t="shared" si="0"/>
        <v>9</v>
      </c>
      <c r="P12" s="220">
        <f t="shared" si="0"/>
        <v>10</v>
      </c>
      <c r="Q12" s="220">
        <f t="shared" si="0"/>
        <v>11</v>
      </c>
      <c r="R12" s="220">
        <f t="shared" si="0"/>
        <v>12</v>
      </c>
      <c r="S12" s="220">
        <f t="shared" ref="S12:S13" si="1">R12+1</f>
        <v>13</v>
      </c>
      <c r="T12" s="220">
        <f t="shared" ref="T12:T13" si="2">S12+1</f>
        <v>14</v>
      </c>
      <c r="U12" s="220">
        <f t="shared" ref="U12:U13" si="3">T12+1</f>
        <v>15</v>
      </c>
      <c r="V12" s="220">
        <f t="shared" ref="V12:V13" si="4">U12+1</f>
        <v>16</v>
      </c>
      <c r="W12" s="220">
        <f t="shared" ref="W12:W13" si="5">V12+1</f>
        <v>17</v>
      </c>
      <c r="X12" s="220">
        <f t="shared" ref="X12:X13" si="6">W12+1</f>
        <v>18</v>
      </c>
      <c r="Y12" s="220">
        <f t="shared" ref="Y12:Y13" si="7">X12+1</f>
        <v>19</v>
      </c>
      <c r="Z12" s="220">
        <f t="shared" ref="Z12:Z13" si="8">Y12+1</f>
        <v>20</v>
      </c>
      <c r="AA12" s="220">
        <f t="shared" ref="AA12:AA13" si="9">Z12+1</f>
        <v>21</v>
      </c>
      <c r="AB12" s="220">
        <f t="shared" ref="AB12:AB13" si="10">AA12+1</f>
        <v>22</v>
      </c>
      <c r="AC12" s="220">
        <f t="shared" ref="AC12:AC13" si="11">AB12+1</f>
        <v>23</v>
      </c>
      <c r="AD12" s="220">
        <f t="shared" ref="AD12:AD13" si="12">AC12+1</f>
        <v>24</v>
      </c>
      <c r="AE12" s="220">
        <f t="shared" ref="AE12:AE13" si="13">AD12+1</f>
        <v>25</v>
      </c>
      <c r="AF12" s="220">
        <f t="shared" ref="AF12:AF13" si="14">AE12+1</f>
        <v>26</v>
      </c>
      <c r="AG12" s="220">
        <f t="shared" ref="AG12:AG13" si="15">AF12+1</f>
        <v>27</v>
      </c>
      <c r="AH12" s="220">
        <f t="shared" ref="AH12:AH13" si="16">AG12+1</f>
        <v>28</v>
      </c>
      <c r="AI12" s="220">
        <f t="shared" ref="AI12:AI13" si="17">AH12+1</f>
        <v>29</v>
      </c>
      <c r="AJ12" s="220">
        <f t="shared" ref="AJ12:AJ13" si="18">AI12+1</f>
        <v>30</v>
      </c>
    </row>
    <row r="13" spans="1:163" s="100" customFormat="1">
      <c r="A13"/>
      <c r="B13" t="s">
        <v>408</v>
      </c>
      <c r="C13"/>
      <c r="D13"/>
      <c r="E13"/>
      <c r="F13" s="180">
        <f>'Phase I - Summary'!D20</f>
        <v>2020</v>
      </c>
      <c r="G13" s="180">
        <f>F13+1</f>
        <v>2021</v>
      </c>
      <c r="H13" s="180">
        <f t="shared" si="0"/>
        <v>2022</v>
      </c>
      <c r="I13" s="180">
        <f t="shared" si="0"/>
        <v>2023</v>
      </c>
      <c r="J13" s="180">
        <f t="shared" si="0"/>
        <v>2024</v>
      </c>
      <c r="K13" s="180">
        <f t="shared" si="0"/>
        <v>2025</v>
      </c>
      <c r="L13" s="180">
        <f t="shared" si="0"/>
        <v>2026</v>
      </c>
      <c r="M13" s="180">
        <f t="shared" si="0"/>
        <v>2027</v>
      </c>
      <c r="N13" s="180">
        <f t="shared" si="0"/>
        <v>2028</v>
      </c>
      <c r="O13" s="180">
        <f t="shared" si="0"/>
        <v>2029</v>
      </c>
      <c r="P13" s="180">
        <f t="shared" si="0"/>
        <v>2030</v>
      </c>
      <c r="Q13" s="180">
        <f t="shared" si="0"/>
        <v>2031</v>
      </c>
      <c r="R13" s="180">
        <f t="shared" si="0"/>
        <v>2032</v>
      </c>
      <c r="S13" s="180">
        <f t="shared" si="1"/>
        <v>2033</v>
      </c>
      <c r="T13" s="180">
        <f t="shared" si="2"/>
        <v>2034</v>
      </c>
      <c r="U13" s="180">
        <f t="shared" si="3"/>
        <v>2035</v>
      </c>
      <c r="V13" s="180">
        <f t="shared" si="4"/>
        <v>2036</v>
      </c>
      <c r="W13" s="180">
        <f t="shared" si="5"/>
        <v>2037</v>
      </c>
      <c r="X13" s="180">
        <f t="shared" si="6"/>
        <v>2038</v>
      </c>
      <c r="Y13" s="180">
        <f t="shared" si="7"/>
        <v>2039</v>
      </c>
      <c r="Z13" s="180">
        <f t="shared" si="8"/>
        <v>2040</v>
      </c>
      <c r="AA13" s="180">
        <f t="shared" si="9"/>
        <v>2041</v>
      </c>
      <c r="AB13" s="180">
        <f t="shared" si="10"/>
        <v>2042</v>
      </c>
      <c r="AC13" s="180">
        <f t="shared" si="11"/>
        <v>2043</v>
      </c>
      <c r="AD13" s="180">
        <f t="shared" si="12"/>
        <v>2044</v>
      </c>
      <c r="AE13" s="180">
        <f t="shared" si="13"/>
        <v>2045</v>
      </c>
      <c r="AF13" s="180">
        <f t="shared" si="14"/>
        <v>2046</v>
      </c>
      <c r="AG13" s="180">
        <f t="shared" si="15"/>
        <v>2047</v>
      </c>
      <c r="AH13" s="180">
        <f t="shared" si="16"/>
        <v>2048</v>
      </c>
      <c r="AI13" s="180">
        <f t="shared" si="17"/>
        <v>2049</v>
      </c>
      <c r="AJ13" s="180">
        <f t="shared" si="18"/>
        <v>2050</v>
      </c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</row>
    <row r="14" spans="1:163" s="100" customFormat="1">
      <c r="A14"/>
      <c r="B14"/>
      <c r="C14"/>
      <c r="D14"/>
      <c r="E14"/>
      <c r="F14" s="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163" s="100" customFormat="1" ht="14.4">
      <c r="A15"/>
      <c r="B15"/>
      <c r="C15"/>
      <c r="D15" s="18" t="s">
        <v>16</v>
      </c>
      <c r="E15"/>
      <c r="F15" s="14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163" s="100" customFormat="1">
      <c r="A16"/>
      <c r="B16" t="s">
        <v>409</v>
      </c>
      <c r="C16"/>
      <c r="D16" s="19">
        <f>SUM(F16:DV16)</f>
        <v>1</v>
      </c>
      <c r="E16"/>
      <c r="F16" s="13">
        <v>0</v>
      </c>
      <c r="G16" s="13">
        <v>0</v>
      </c>
      <c r="H16" s="13">
        <f>IF(H13&lt;'Phase I - Summary'!$D$23,1/'Phase I - Summary'!$D$22,0)</f>
        <v>0.33333333333333331</v>
      </c>
      <c r="I16" s="13">
        <f>IF(I13&lt;'Phase I - Summary'!$D$23,1/'Phase I - Summary'!$D$22,0)</f>
        <v>0.33333333333333331</v>
      </c>
      <c r="J16" s="13">
        <f>IF(J13&lt;'Phase I - Summary'!$D$23,1/'Phase I - Summary'!$D$22,0)</f>
        <v>0.33333333333333331</v>
      </c>
      <c r="K16" s="13">
        <f>IF(K13&lt;'Phase I - Summary'!$D$23,1/'Phase I - Summary'!$D$22,0)</f>
        <v>0</v>
      </c>
      <c r="L16" s="13">
        <f>IF(L13&lt;'Phase I - Summary'!$D$23,1/'Phase I - Summary'!$D$22,0)</f>
        <v>0</v>
      </c>
      <c r="M16" s="13">
        <f>IF(M13&lt;'Phase I - Summary'!$D$23,1/'Phase I - Summary'!$D$22,0)</f>
        <v>0</v>
      </c>
      <c r="N16" s="13">
        <f>IF(N13&lt;'Phase I - Summary'!$D$23,1/'Phase I - Summary'!$D$22,0)</f>
        <v>0</v>
      </c>
      <c r="O16" s="13">
        <f>IF(O13&lt;'Phase I - Summary'!$D$23,1/'Phase I - Summary'!$D$22,0)</f>
        <v>0</v>
      </c>
      <c r="P16" s="13">
        <f>IF(P13&lt;'Phase I - Summary'!$D$23,1/'Phase I - Summary'!$D$22,0)</f>
        <v>0</v>
      </c>
      <c r="Q16" s="13">
        <f>IF(Q13&lt;'Phase I - Summary'!$D$23,1/'Phase I - Summary'!$D$22,0)</f>
        <v>0</v>
      </c>
      <c r="R16" s="13">
        <f>IF(R13&lt;'Phase I - Summary'!$D$23,1/'Phase I - Summary'!$D$22,0)</f>
        <v>0</v>
      </c>
      <c r="S16" s="13">
        <f>IF(S13&lt;'Phase I - Summary'!$D$23,1/'Phase I - Summary'!$D$22,0)</f>
        <v>0</v>
      </c>
      <c r="T16" s="13">
        <f>IF(T13&lt;'Phase I - Summary'!$D$23,1/'Phase I - Summary'!$D$22,0)</f>
        <v>0</v>
      </c>
      <c r="U16" s="13">
        <f>IF(U13&lt;'Phase I - Summary'!$D$23,1/'Phase I - Summary'!$D$22,0)</f>
        <v>0</v>
      </c>
      <c r="V16" s="13">
        <f>IF(V13&lt;'Phase I - Summary'!$D$23,1/'Phase I - Summary'!$D$22,0)</f>
        <v>0</v>
      </c>
      <c r="W16" s="13">
        <f>IF(W13&lt;'Phase I - Summary'!$D$23,1/'Phase I - Summary'!$D$22,0)</f>
        <v>0</v>
      </c>
      <c r="X16" s="13">
        <f>IF(X13&lt;'Phase I - Summary'!$D$23,1/'Phase I - Summary'!$D$22,0)</f>
        <v>0</v>
      </c>
      <c r="Y16" s="13">
        <f>IF(Y13&lt;'Phase I - Summary'!$D$23,1/'Phase I - Summary'!$D$22,0)</f>
        <v>0</v>
      </c>
      <c r="Z16" s="13">
        <f>IF(Z13&lt;'Phase I - Summary'!$D$23,1/'Phase I - Summary'!$D$22,0)</f>
        <v>0</v>
      </c>
      <c r="AA16" s="13">
        <f>IF(AA13&lt;'Phase I - Summary'!$D$23,1/'Phase I - Summary'!$D$22,0)</f>
        <v>0</v>
      </c>
      <c r="AB16" s="13">
        <f>IF(AB13&lt;'Phase I - Summary'!$D$23,1/'Phase I - Summary'!$D$22,0)</f>
        <v>0</v>
      </c>
      <c r="AC16" s="13">
        <f>IF(AC13&lt;'Phase I - Summary'!$D$23,1/'Phase I - Summary'!$D$22,0)</f>
        <v>0</v>
      </c>
      <c r="AD16" s="13">
        <f>IF(AD13&lt;'Phase I - Summary'!$D$23,1/'Phase I - Summary'!$D$22,0)</f>
        <v>0</v>
      </c>
      <c r="AE16" s="13">
        <f>IF(AE13&lt;'Phase I - Summary'!$D$23,1/'Phase I - Summary'!$D$22,0)</f>
        <v>0</v>
      </c>
      <c r="AF16" s="13">
        <f>IF(AF13&lt;'Phase I - Summary'!$D$23,1/'Phase I - Summary'!$D$22,0)</f>
        <v>0</v>
      </c>
      <c r="AG16" s="13">
        <f>IF(AG13&lt;'Phase I - Summary'!$D$23,1/'Phase I - Summary'!$D$22,0)</f>
        <v>0</v>
      </c>
      <c r="AH16" s="13">
        <f>IF(AH13&lt;'Phase I - Summary'!$D$23,1/'Phase I - Summary'!$D$22,0)</f>
        <v>0</v>
      </c>
      <c r="AI16" s="13">
        <f>IF(AI13&lt;'Phase I - Summary'!$D$23,1/'Phase I - Summary'!$D$22,0)</f>
        <v>0</v>
      </c>
      <c r="AJ16" s="13">
        <f>IF(AJ13&lt;'Phase I - Summary'!$D$23,1/'Phase I - Summary'!$D$22,0)</f>
        <v>0</v>
      </c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</row>
    <row r="17" spans="1:138" s="100" customFormat="1">
      <c r="A17"/>
      <c r="B17"/>
      <c r="C17"/>
      <c r="D17" s="20"/>
      <c r="E17"/>
      <c r="F17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</row>
    <row r="18" spans="1:138" s="100" customFormat="1">
      <c r="A18"/>
      <c r="B18" t="s">
        <v>46</v>
      </c>
      <c r="C18"/>
      <c r="D18" s="21">
        <f>SUM(F18:DV18)</f>
        <v>44629803</v>
      </c>
      <c r="E18"/>
      <c r="F18" s="7">
        <f>IF(F13='Phase I - Summary'!$D$20,'Phase I - Summary'!$G$14,0)</f>
        <v>44629803</v>
      </c>
      <c r="G18" s="7">
        <f>IF(G13='[1]Summary Inputs'!$D$13,'[1]Summary Inputs'!I6,0)</f>
        <v>0</v>
      </c>
      <c r="H18" s="7">
        <f>IF(H13='[1]Summary Inputs'!$D$13,'[1]Summary Inputs'!J6,0)</f>
        <v>0</v>
      </c>
      <c r="I18" s="7">
        <f>IF(I13='[1]Summary Inputs'!$D$13,'[1]Summary Inputs'!K6,0)</f>
        <v>0</v>
      </c>
      <c r="J18" s="7">
        <f>IF(J13='[1]Summary Inputs'!$D$13,'[1]Summary Inputs'!L5,0)</f>
        <v>0</v>
      </c>
      <c r="K18" s="7">
        <f>IF(K13='[1]Summary Inputs'!$D$13,'[1]Summary Inputs'!#REF!,0)</f>
        <v>0</v>
      </c>
      <c r="L18" s="7">
        <f>IF(L13='[1]Summary Inputs'!$D$13,'[1]Summary Inputs'!I22,0)</f>
        <v>0</v>
      </c>
      <c r="M18" s="7">
        <f>IF(M13='[1]Summary Inputs'!$D$13,'[1]Summary Inputs'!K22,0)</f>
        <v>0</v>
      </c>
      <c r="N18" s="7">
        <f>IF(N13='[1]Summary Inputs'!$D$13,'[1]Summary Inputs'!#REF!,0)</f>
        <v>0</v>
      </c>
      <c r="O18" s="7">
        <f>IF(O13='[1]Summary Inputs'!$D$13,'[1]Summary Inputs'!M14,0)</f>
        <v>0</v>
      </c>
      <c r="P18" s="7">
        <f>IF(P13='[1]Summary Inputs'!$D$13,'[1]Summary Inputs'!O14,0)</f>
        <v>0</v>
      </c>
      <c r="Q18" s="7">
        <f>IF(Q13='[1]Summary Inputs'!$D$13,'[1]Summary Inputs'!R14,0)</f>
        <v>0</v>
      </c>
      <c r="R18" s="7">
        <f>IF(R13='[1]Summary Inputs'!$D$13,'[1]Summary Inputs'!#REF!,0)</f>
        <v>0</v>
      </c>
      <c r="S18" s="7">
        <f>IF(S13='[1]Summary Inputs'!$D$13,'[1]Summary Inputs'!#REF!,0)</f>
        <v>0</v>
      </c>
      <c r="T18" s="7">
        <f>IF(T13='[1]Summary Inputs'!$D$13,'[1]Summary Inputs'!#REF!,0)</f>
        <v>0</v>
      </c>
      <c r="U18" s="7">
        <f>IF(U13='[1]Summary Inputs'!$D$13,'[1]Summary Inputs'!#REF!,0)</f>
        <v>0</v>
      </c>
      <c r="V18" s="7">
        <f>IF(V13='[1]Summary Inputs'!$D$13,'[1]Summary Inputs'!#REF!,0)</f>
        <v>0</v>
      </c>
      <c r="W18" s="7">
        <f>IF(W13='[1]Summary Inputs'!$D$13,'[1]Summary Inputs'!#REF!,0)</f>
        <v>0</v>
      </c>
      <c r="X18" s="7">
        <f>IF(X13='[1]Summary Inputs'!$D$13,'[1]Summary Inputs'!#REF!,0)</f>
        <v>0</v>
      </c>
      <c r="Y18" s="7">
        <f>IF(Y13='[1]Summary Inputs'!$D$13,'[1]Summary Inputs'!#REF!,0)</f>
        <v>0</v>
      </c>
      <c r="Z18" s="7">
        <f>IF(Z13='[1]Summary Inputs'!$D$13,'[1]Summary Inputs'!#REF!,0)</f>
        <v>0</v>
      </c>
      <c r="AA18" s="7">
        <f>IF(AA13='[1]Summary Inputs'!$D$13,'[1]Summary Inputs'!#REF!,0)</f>
        <v>0</v>
      </c>
      <c r="AB18" s="7">
        <f>IF(AB13='[1]Summary Inputs'!$D$13,'[1]Summary Inputs'!#REF!,0)</f>
        <v>0</v>
      </c>
      <c r="AC18" s="7">
        <f>IF(AC13='[1]Summary Inputs'!$D$13,'[1]Summary Inputs'!#REF!,0)</f>
        <v>0</v>
      </c>
      <c r="AD18" s="7">
        <f>IF(AD13='[1]Summary Inputs'!$D$13,'[1]Summary Inputs'!#REF!,0)</f>
        <v>0</v>
      </c>
      <c r="AE18" s="7">
        <f>IF(AE13='[1]Summary Inputs'!$D$13,'[1]Summary Inputs'!#REF!,0)</f>
        <v>0</v>
      </c>
      <c r="AF18" s="7">
        <f>IF(AF13='[1]Summary Inputs'!$D$13,'[1]Summary Inputs'!#REF!,0)</f>
        <v>0</v>
      </c>
      <c r="AG18" s="7">
        <f>IF(AG13='[1]Summary Inputs'!$D$13,'[1]Summary Inputs'!#REF!,0)</f>
        <v>0</v>
      </c>
      <c r="AH18" s="7">
        <f>IF(AH13='[1]Summary Inputs'!$D$13,'[1]Summary Inputs'!#REF!,0)</f>
        <v>0</v>
      </c>
      <c r="AI18" s="7">
        <f>IF(AI13='[1]Summary Inputs'!$D$13,'[1]Summary Inputs'!#REF!,0)</f>
        <v>0</v>
      </c>
      <c r="AJ18" s="7">
        <f>IF(AJ13='[1]Summary Inputs'!$D$13,'[1]Summary Inputs'!#REF!,0)</f>
        <v>0</v>
      </c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</row>
    <row r="19" spans="1:138" s="100" customFormat="1">
      <c r="A19"/>
      <c r="B19" t="s">
        <v>395</v>
      </c>
      <c r="C19"/>
      <c r="D19" s="21">
        <f t="shared" ref="D19:D22" ca="1" si="19">SUM(F19:DV19)</f>
        <v>165095405.81159997</v>
      </c>
      <c r="E19"/>
      <c r="F19" s="7">
        <f ca="1">F16*'Phase I - Summary'!$G$15</f>
        <v>0</v>
      </c>
      <c r="G19" s="7">
        <f ca="1">G16*'Phase I - Summary'!$G$15</f>
        <v>0</v>
      </c>
      <c r="H19" s="7">
        <f ca="1">H16*'Phase I - Summary'!$G$15</f>
        <v>55031801.937199995</v>
      </c>
      <c r="I19" s="7">
        <f ca="1">I16*'Phase I - Summary'!$G$15</f>
        <v>55031801.937199995</v>
      </c>
      <c r="J19" s="7">
        <f ca="1">J16*'Phase I - Summary'!$G$15</f>
        <v>55031801.937199995</v>
      </c>
      <c r="K19" s="7">
        <f ca="1">K16*'Phase I - Summary'!$G$15</f>
        <v>0</v>
      </c>
      <c r="L19" s="7">
        <f ca="1">L16*'Phase I - Summary'!$G$15</f>
        <v>0</v>
      </c>
      <c r="M19" s="7">
        <f ca="1">M16*'Phase I - Summary'!$G$15</f>
        <v>0</v>
      </c>
      <c r="N19" s="7">
        <f ca="1">N16*'Phase I - Summary'!$G$15</f>
        <v>0</v>
      </c>
      <c r="O19" s="7">
        <f ca="1">O16*'Phase I - Summary'!$G$15</f>
        <v>0</v>
      </c>
      <c r="P19" s="7">
        <f ca="1">P16*'Phase I - Summary'!$G$15</f>
        <v>0</v>
      </c>
      <c r="Q19" s="7">
        <f ca="1">Q16*'Phase I - Summary'!$G$15</f>
        <v>0</v>
      </c>
      <c r="R19" s="7">
        <f ca="1">R16*'Phase I - Summary'!$G$15</f>
        <v>0</v>
      </c>
      <c r="S19" s="7">
        <f ca="1">S16*'Phase I - Summary'!$G$15</f>
        <v>0</v>
      </c>
      <c r="T19" s="7">
        <f ca="1">T16*'Phase I - Summary'!$G$15</f>
        <v>0</v>
      </c>
      <c r="U19" s="7">
        <f ca="1">U16*'Phase I - Summary'!$G$15</f>
        <v>0</v>
      </c>
      <c r="V19" s="7">
        <f ca="1">V16*'Phase I - Summary'!$G$15</f>
        <v>0</v>
      </c>
      <c r="W19" s="7">
        <f ca="1">W16*'Phase I - Summary'!$G$15</f>
        <v>0</v>
      </c>
      <c r="X19" s="7">
        <f ca="1">X16*'Phase I - Summary'!$G$15</f>
        <v>0</v>
      </c>
      <c r="Y19" s="7">
        <f ca="1">Y16*'Phase I - Summary'!$G$15</f>
        <v>0</v>
      </c>
      <c r="Z19" s="7">
        <f ca="1">Z16*'Phase I - Summary'!$G$15</f>
        <v>0</v>
      </c>
      <c r="AA19" s="7">
        <f ca="1">AA16*'Phase I - Summary'!$G$15</f>
        <v>0</v>
      </c>
      <c r="AB19" s="7">
        <f ca="1">AB16*'Phase I - Summary'!$G$15</f>
        <v>0</v>
      </c>
      <c r="AC19" s="7">
        <f ca="1">AC16*'Phase I - Summary'!$G$15</f>
        <v>0</v>
      </c>
      <c r="AD19" s="7">
        <f ca="1">AD16*'Phase I - Summary'!$G$15</f>
        <v>0</v>
      </c>
      <c r="AE19" s="7">
        <f ca="1">AE16*'Phase I - Summary'!$G$15</f>
        <v>0</v>
      </c>
      <c r="AF19" s="7">
        <f ca="1">AF16*'Phase I - Summary'!$G$15</f>
        <v>0</v>
      </c>
      <c r="AG19" s="7">
        <f ca="1">AG16*'Phase I - Summary'!$G$15</f>
        <v>0</v>
      </c>
      <c r="AH19" s="7">
        <f ca="1">AH16*'Phase I - Summary'!$G$15</f>
        <v>0</v>
      </c>
      <c r="AI19" s="7">
        <f ca="1">AI16*'Phase I - Summary'!$G$15</f>
        <v>0</v>
      </c>
      <c r="AJ19" s="7">
        <f ca="1">AJ16*'Phase I - Summary'!$G$15</f>
        <v>0</v>
      </c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</row>
    <row r="20" spans="1:138" s="100" customFormat="1">
      <c r="A20"/>
      <c r="B20" t="s">
        <v>410</v>
      </c>
      <c r="C20"/>
      <c r="D20" s="21">
        <f t="shared" ca="1" si="19"/>
        <v>24764310.871740002</v>
      </c>
      <c r="E20"/>
      <c r="F20" s="7">
        <f ca="1">F$16*'Phase I - Summary'!$G$16</f>
        <v>0</v>
      </c>
      <c r="G20" s="7">
        <f ca="1">G16*'Phase I - Summary'!$G$16</f>
        <v>0</v>
      </c>
      <c r="H20" s="7">
        <f ca="1">H16*'Phase I - Summary'!$G$16</f>
        <v>8254770.2905800007</v>
      </c>
      <c r="I20" s="7">
        <f ca="1">I16*'Phase I - Summary'!$G$16</f>
        <v>8254770.2905800007</v>
      </c>
      <c r="J20" s="7">
        <f ca="1">J16*'Phase I - Summary'!$G$16</f>
        <v>8254770.2905800007</v>
      </c>
      <c r="K20" s="7">
        <f ca="1">K16*'Phase I - Summary'!$G$16</f>
        <v>0</v>
      </c>
      <c r="L20" s="7">
        <f ca="1">L16*'Phase I - Summary'!$G$16</f>
        <v>0</v>
      </c>
      <c r="M20" s="7">
        <f ca="1">M16*'Phase I - Summary'!$G$16</f>
        <v>0</v>
      </c>
      <c r="N20" s="7">
        <f ca="1">N16*'Phase I - Summary'!$G$16</f>
        <v>0</v>
      </c>
      <c r="O20" s="7">
        <f ca="1">O16*'Phase I - Summary'!$G$16</f>
        <v>0</v>
      </c>
      <c r="P20" s="7">
        <f ca="1">P16*'Phase I - Summary'!$G$16</f>
        <v>0</v>
      </c>
      <c r="Q20" s="7">
        <f ca="1">Q16*'Phase I - Summary'!$G$16</f>
        <v>0</v>
      </c>
      <c r="R20" s="7">
        <f ca="1">R16*'Phase I - Summary'!$G$16</f>
        <v>0</v>
      </c>
      <c r="S20" s="7">
        <f ca="1">S16*'Phase I - Summary'!$G$16</f>
        <v>0</v>
      </c>
      <c r="T20" s="7">
        <f ca="1">T16*'Phase I - Summary'!$G$16</f>
        <v>0</v>
      </c>
      <c r="U20" s="7">
        <f ca="1">U16*'Phase I - Summary'!$G$16</f>
        <v>0</v>
      </c>
      <c r="V20" s="7">
        <f ca="1">V16*'Phase I - Summary'!$G$16</f>
        <v>0</v>
      </c>
      <c r="W20" s="7">
        <f ca="1">W16*'Phase I - Summary'!$G$16</f>
        <v>0</v>
      </c>
      <c r="X20" s="7">
        <f ca="1">X16*'Phase I - Summary'!$G$16</f>
        <v>0</v>
      </c>
      <c r="Y20" s="7">
        <f ca="1">Y16*'Phase I - Summary'!$G$16</f>
        <v>0</v>
      </c>
      <c r="Z20" s="7">
        <f ca="1">Z16*'Phase I - Summary'!$G$16</f>
        <v>0</v>
      </c>
      <c r="AA20" s="7">
        <f ca="1">AA16*'Phase I - Summary'!$G$16</f>
        <v>0</v>
      </c>
      <c r="AB20" s="7">
        <f ca="1">AB16*'Phase I - Summary'!$G$16</f>
        <v>0</v>
      </c>
      <c r="AC20" s="7">
        <f ca="1">AC16*'Phase I - Summary'!$G$16</f>
        <v>0</v>
      </c>
      <c r="AD20" s="7">
        <f ca="1">AD16*'Phase I - Summary'!$G$16</f>
        <v>0</v>
      </c>
      <c r="AE20" s="7">
        <f ca="1">AE16*'Phase I - Summary'!$G$16</f>
        <v>0</v>
      </c>
      <c r="AF20" s="7">
        <f ca="1">AF16*'Phase I - Summary'!$G$16</f>
        <v>0</v>
      </c>
      <c r="AG20" s="7">
        <f ca="1">AG16*'Phase I - Summary'!$G$16</f>
        <v>0</v>
      </c>
      <c r="AH20" s="7">
        <f ca="1">AH16*'Phase I - Summary'!$G$16</f>
        <v>0</v>
      </c>
      <c r="AI20" s="7">
        <f ca="1">AI16*'Phase I - Summary'!$G$16</f>
        <v>0</v>
      </c>
      <c r="AJ20" s="7">
        <f ca="1">AJ16*'Phase I - Summary'!$G$16</f>
        <v>0</v>
      </c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</row>
    <row r="21" spans="1:138" s="100" customFormat="1">
      <c r="A21"/>
      <c r="B21" s="1" t="s">
        <v>9</v>
      </c>
      <c r="C21"/>
      <c r="D21" s="21">
        <f t="shared" ca="1" si="19"/>
        <v>14954286</v>
      </c>
      <c r="E21"/>
      <c r="F21" s="7">
        <f ca="1">F$16*'Infrastructure Budget'!$F$35</f>
        <v>0</v>
      </c>
      <c r="G21" s="7">
        <f ca="1">G$16*'Infrastructure Budget'!$F$35</f>
        <v>0</v>
      </c>
      <c r="H21" s="7">
        <f ca="1">H$16*'Infrastructure Budget'!$F$35</f>
        <v>4984762</v>
      </c>
      <c r="I21" s="7">
        <f ca="1">I$16*'Infrastructure Budget'!$F$35</f>
        <v>4984762</v>
      </c>
      <c r="J21" s="7">
        <f ca="1">J$16*'Infrastructure Budget'!$F$35</f>
        <v>4984762</v>
      </c>
      <c r="K21" s="7">
        <f ca="1">K$16*'Infrastructure Budget'!$F$35</f>
        <v>0</v>
      </c>
      <c r="L21" s="7">
        <f ca="1">L$16*'Infrastructure Budget'!$F$35</f>
        <v>0</v>
      </c>
      <c r="M21" s="7">
        <f ca="1">M$16*'Infrastructure Budget'!$F$35</f>
        <v>0</v>
      </c>
      <c r="N21" s="7">
        <f ca="1">N$16*'Infrastructure Budget'!$F$35</f>
        <v>0</v>
      </c>
      <c r="O21" s="7">
        <f ca="1">O$16*'Infrastructure Budget'!$F$35</f>
        <v>0</v>
      </c>
      <c r="P21" s="7">
        <f ca="1">P$16*'Infrastructure Budget'!$F$35</f>
        <v>0</v>
      </c>
      <c r="Q21" s="7">
        <f ca="1">Q$16*'Infrastructure Budget'!$F$35</f>
        <v>0</v>
      </c>
      <c r="R21" s="7">
        <f ca="1">R$16*'Infrastructure Budget'!$F$35</f>
        <v>0</v>
      </c>
      <c r="S21" s="7">
        <f ca="1">S$16*'Infrastructure Budget'!$F$35</f>
        <v>0</v>
      </c>
      <c r="T21" s="7">
        <f ca="1">T$16*'Infrastructure Budget'!$F$35</f>
        <v>0</v>
      </c>
      <c r="U21" s="7">
        <f ca="1">U$16*'Infrastructure Budget'!$F$35</f>
        <v>0</v>
      </c>
      <c r="V21" s="7">
        <f ca="1">V$16*'Infrastructure Budget'!$F$35</f>
        <v>0</v>
      </c>
      <c r="W21" s="7">
        <f ca="1">W$16*'Infrastructure Budget'!$F$35</f>
        <v>0</v>
      </c>
      <c r="X21" s="7">
        <f ca="1">X$16*'Infrastructure Budget'!$F$35</f>
        <v>0</v>
      </c>
      <c r="Y21" s="7">
        <f ca="1">Y$16*'Infrastructure Budget'!$F$35</f>
        <v>0</v>
      </c>
      <c r="Z21" s="7">
        <f ca="1">Z$16*'Infrastructure Budget'!$F$35</f>
        <v>0</v>
      </c>
      <c r="AA21" s="7">
        <f ca="1">AA$16*'Infrastructure Budget'!$F$35</f>
        <v>0</v>
      </c>
      <c r="AB21" s="7">
        <f ca="1">AB$16*'Infrastructure Budget'!$F$35</f>
        <v>0</v>
      </c>
      <c r="AC21" s="7">
        <f ca="1">AC$16*'Infrastructure Budget'!$F$35</f>
        <v>0</v>
      </c>
      <c r="AD21" s="7">
        <f ca="1">AD$16*'Infrastructure Budget'!$F$35</f>
        <v>0</v>
      </c>
      <c r="AE21" s="7">
        <f ca="1">AE$16*'Infrastructure Budget'!$F$35</f>
        <v>0</v>
      </c>
      <c r="AF21" s="7">
        <f ca="1">AF$16*'Infrastructure Budget'!$F$35</f>
        <v>0</v>
      </c>
      <c r="AG21" s="7">
        <f ca="1">AG$16*'Infrastructure Budget'!$F$35</f>
        <v>0</v>
      </c>
      <c r="AH21" s="7">
        <f ca="1">AH$16*'Infrastructure Budget'!$F$35</f>
        <v>0</v>
      </c>
      <c r="AI21" s="7">
        <f ca="1">AI$16*'Infrastructure Budget'!$F$35</f>
        <v>0</v>
      </c>
      <c r="AJ21" s="7">
        <f ca="1">AJ$16*'Infrastructure Budget'!$F$35</f>
        <v>0</v>
      </c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</row>
    <row r="22" spans="1:138" s="100" customFormat="1">
      <c r="A22"/>
      <c r="B22" s="42" t="s">
        <v>3</v>
      </c>
      <c r="C22" s="42"/>
      <c r="D22" s="58">
        <f t="shared" ca="1" si="19"/>
        <v>249443805.68334001</v>
      </c>
      <c r="E22" s="42"/>
      <c r="F22" s="59">
        <f ca="1">SUM(F18:F21)</f>
        <v>44629803</v>
      </c>
      <c r="G22" s="59">
        <f t="shared" ref="G22:AJ22" ca="1" si="20">SUM(G18:G21)</f>
        <v>0</v>
      </c>
      <c r="H22" s="59">
        <f t="shared" ca="1" si="20"/>
        <v>68271334.227779999</v>
      </c>
      <c r="I22" s="59">
        <f t="shared" ca="1" si="20"/>
        <v>68271334.227779999</v>
      </c>
      <c r="J22" s="59">
        <f t="shared" ca="1" si="20"/>
        <v>68271334.227779999</v>
      </c>
      <c r="K22" s="59">
        <f t="shared" ca="1" si="20"/>
        <v>0</v>
      </c>
      <c r="L22" s="59">
        <f t="shared" ca="1" si="20"/>
        <v>0</v>
      </c>
      <c r="M22" s="59">
        <f t="shared" ca="1" si="20"/>
        <v>0</v>
      </c>
      <c r="N22" s="59">
        <f t="shared" ca="1" si="20"/>
        <v>0</v>
      </c>
      <c r="O22" s="59">
        <f t="shared" ca="1" si="20"/>
        <v>0</v>
      </c>
      <c r="P22" s="59">
        <f t="shared" ca="1" si="20"/>
        <v>0</v>
      </c>
      <c r="Q22" s="59">
        <f t="shared" ca="1" si="20"/>
        <v>0</v>
      </c>
      <c r="R22" s="59">
        <f t="shared" ca="1" si="20"/>
        <v>0</v>
      </c>
      <c r="S22" s="59">
        <f t="shared" ca="1" si="20"/>
        <v>0</v>
      </c>
      <c r="T22" s="59">
        <f t="shared" ca="1" si="20"/>
        <v>0</v>
      </c>
      <c r="U22" s="59">
        <f t="shared" ca="1" si="20"/>
        <v>0</v>
      </c>
      <c r="V22" s="59">
        <f t="shared" ca="1" si="20"/>
        <v>0</v>
      </c>
      <c r="W22" s="59">
        <f t="shared" ca="1" si="20"/>
        <v>0</v>
      </c>
      <c r="X22" s="59">
        <f t="shared" ca="1" si="20"/>
        <v>0</v>
      </c>
      <c r="Y22" s="59">
        <f t="shared" ca="1" si="20"/>
        <v>0</v>
      </c>
      <c r="Z22" s="59">
        <f t="shared" ca="1" si="20"/>
        <v>0</v>
      </c>
      <c r="AA22" s="59">
        <f t="shared" ca="1" si="20"/>
        <v>0</v>
      </c>
      <c r="AB22" s="59">
        <f t="shared" ca="1" si="20"/>
        <v>0</v>
      </c>
      <c r="AC22" s="59">
        <f t="shared" ca="1" si="20"/>
        <v>0</v>
      </c>
      <c r="AD22" s="59">
        <f t="shared" ca="1" si="20"/>
        <v>0</v>
      </c>
      <c r="AE22" s="59">
        <f t="shared" ca="1" si="20"/>
        <v>0</v>
      </c>
      <c r="AF22" s="59">
        <f t="shared" ca="1" si="20"/>
        <v>0</v>
      </c>
      <c r="AG22" s="59">
        <f t="shared" ca="1" si="20"/>
        <v>0</v>
      </c>
      <c r="AH22" s="59">
        <f t="shared" ca="1" si="20"/>
        <v>0</v>
      </c>
      <c r="AI22" s="59">
        <f t="shared" ca="1" si="20"/>
        <v>0</v>
      </c>
      <c r="AJ22" s="59">
        <f t="shared" ca="1" si="20"/>
        <v>0</v>
      </c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76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176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  <c r="EB22" s="176"/>
      <c r="EC22" s="176"/>
      <c r="ED22" s="176"/>
      <c r="EE22" s="176"/>
      <c r="EF22" s="176"/>
      <c r="EG22" s="176"/>
      <c r="EH22" s="176"/>
    </row>
    <row r="23" spans="1:138" s="100" customForma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138" s="100" customFormat="1">
      <c r="A24"/>
      <c r="B24" s="219" t="s">
        <v>411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 s="188"/>
      <c r="AL24" s="188"/>
      <c r="AM24" s="188"/>
      <c r="AN24" s="188"/>
      <c r="AO24" s="188"/>
      <c r="AP24" s="188"/>
      <c r="AQ24" s="188"/>
    </row>
    <row r="25" spans="1:138">
      <c r="B25" t="s">
        <v>627</v>
      </c>
      <c r="F25" s="179">
        <f>IF(F13&gt;='Phase I - Summary'!$D$23,'Phase I - CF MF Market Rental'!C53,0)</f>
        <v>0</v>
      </c>
      <c r="G25" s="179">
        <f>IF(G13&gt;='Phase I - Summary'!$D$23,'Phase I - CF MF Market Rental'!D53,0)</f>
        <v>0</v>
      </c>
      <c r="H25" s="179">
        <f>IF(H13&gt;='Phase I - Summary'!$D$23,'Phase I - CF MF Market Rental'!E53,0)</f>
        <v>0</v>
      </c>
      <c r="I25" s="179">
        <f>IF(I13&gt;='Phase I - Summary'!$D$23,'Phase I - CF MF Market Rental'!F53,0)</f>
        <v>0</v>
      </c>
      <c r="J25" s="179">
        <f>IF(J13&gt;='Phase I - Summary'!$D$23,'Phase I - CF MF Market Rental'!G53,0)</f>
        <v>0</v>
      </c>
      <c r="K25" s="179">
        <f ca="1">IF(K13&gt;='Phase I - Summary'!$D$23,'Phase I - CF MF Market Rental'!H53,0)</f>
        <v>2944419</v>
      </c>
      <c r="L25" s="179">
        <f ca="1">IF(L13&gt;='Phase I - Summary'!$D$23,'Phase I - CF MF Market Rental'!I53,0)</f>
        <v>7973843.8800000008</v>
      </c>
      <c r="M25" s="179">
        <f ca="1">IF(M13&gt;='Phase I - Summary'!$D$23,'Phase I - CF MF Market Rental'!J53,0)</f>
        <v>8213059.1963999989</v>
      </c>
      <c r="N25" s="179">
        <f ca="1">IF(N13&gt;='Phase I - Summary'!$D$23,'Phase I - CF MF Market Rental'!K53,0)</f>
        <v>8459450.9722920004</v>
      </c>
      <c r="O25" s="179">
        <f ca="1">IF(O13&gt;='Phase I - Summary'!$D$23,'Phase I - CF MF Market Rental'!L53,0)</f>
        <v>8713234.501460759</v>
      </c>
      <c r="P25" s="179">
        <f ca="1">IF(P13&gt;='Phase I - Summary'!$D$23,'Phase I - CF MF Market Rental'!M53,0)</f>
        <v>8974631.5365045816</v>
      </c>
      <c r="Q25" s="179">
        <f ca="1">IF(Q13&gt;='Phase I - Summary'!$D$23,'Phase I - CF MF Market Rental'!N53,0)</f>
        <v>9243870.4825997185</v>
      </c>
      <c r="R25" s="179">
        <f ca="1">IF(R13&gt;='Phase I - Summary'!$D$23,'Phase I - CF MF Market Rental'!O53,0)</f>
        <v>9521186.5970777106</v>
      </c>
      <c r="S25" s="179">
        <f ca="1">IF(S13&gt;='Phase I - Summary'!$D$23,'Phase I - CF MF Market Rental'!P53,0)</f>
        <v>9806822.1949900426</v>
      </c>
      <c r="T25" s="179">
        <f ca="1">IF(T13&gt;='Phase I - Summary'!$D$23,'Phase I - CF MF Market Rental'!Q53,0)</f>
        <v>10101026.860839743</v>
      </c>
      <c r="U25" s="179">
        <f ca="1">IF(U13&gt;='Phase I - Summary'!$D$23,'Phase I - CF MF Market Rental'!R53,0)</f>
        <v>10404057.666664936</v>
      </c>
      <c r="V25" s="179">
        <f ca="1">IF(V13&gt;='Phase I - Summary'!$D$23,'Phase I - CF MF Market Rental'!S53,0)</f>
        <v>10716179.396664886</v>
      </c>
      <c r="W25" s="179">
        <f ca="1">IF(W13&gt;='Phase I - Summary'!$D$23,'Phase I - CF MF Market Rental'!T53,0)</f>
        <v>11037664.778564828</v>
      </c>
      <c r="X25" s="179">
        <f ca="1">IF(X13&gt;='Phase I - Summary'!$D$23,'Phase I - CF MF Market Rental'!U53,0)</f>
        <v>11368794.721921774</v>
      </c>
      <c r="Y25" s="179">
        <f ca="1">IF(Y13&gt;='Phase I - Summary'!$D$23,'Phase I - CF MF Market Rental'!V53,0)</f>
        <v>11709858.563579429</v>
      </c>
      <c r="Z25" s="179">
        <f ca="1">IF(Z13&gt;='Phase I - Summary'!$D$23,'Phase I - CF MF Market Rental'!W53,0)</f>
        <v>12061154.320486812</v>
      </c>
      <c r="AA25" s="179">
        <f ca="1">IF(AA13&gt;='Phase I - Summary'!$D$23,'Phase I - CF MF Market Rental'!X53,0)</f>
        <v>12422988.950101413</v>
      </c>
      <c r="AB25" s="179">
        <f ca="1">IF(AB13&gt;='Phase I - Summary'!$D$23,'Phase I - CF MF Market Rental'!Y53,0)</f>
        <v>12795678.618604457</v>
      </c>
      <c r="AC25" s="179">
        <f ca="1">IF(AC13&gt;='Phase I - Summary'!$D$23,'Phase I - CF MF Market Rental'!Z53,0)</f>
        <v>13179548.977162588</v>
      </c>
      <c r="AD25" s="179">
        <f ca="1">IF(AD13&gt;='Phase I - Summary'!$D$23,'Phase I - CF MF Market Rental'!AA53,0)</f>
        <v>13574935.446477467</v>
      </c>
      <c r="AE25" s="179">
        <f ca="1">IF(AE13&gt;='Phase I - Summary'!$D$23,'Phase I - CF MF Market Rental'!AB53,0)</f>
        <v>13982183.509871792</v>
      </c>
      <c r="AF25" s="179">
        <f ca="1">IF(AF13&gt;='Phase I - Summary'!$D$23,'Phase I - CF MF Market Rental'!AC53,0)</f>
        <v>14401649.015167944</v>
      </c>
      <c r="AG25" s="179">
        <f ca="1">IF(AG13&gt;='Phase I - Summary'!$D$23,'Phase I - CF MF Market Rental'!AD53,0)</f>
        <v>14833698.485622982</v>
      </c>
      <c r="AH25" s="179">
        <f ca="1">IF(AH13&gt;='Phase I - Summary'!$D$23,'Phase I - CF MF Market Rental'!AE53,0)</f>
        <v>15278709.440191673</v>
      </c>
      <c r="AI25" s="179">
        <f ca="1">IF(AI13&gt;='Phase I - Summary'!$D$23,'Phase I - CF MF Market Rental'!AF53,0)</f>
        <v>15737070.723397421</v>
      </c>
      <c r="AJ25" s="179">
        <f ca="1">IF(AJ13&gt;='Phase I - Summary'!$D$23,'Phase I - CF MF Market Rental'!AG53,0)</f>
        <v>16209182.845099341</v>
      </c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81"/>
      <c r="EH25" s="181"/>
    </row>
    <row r="26" spans="1:138">
      <c r="A26" s="178"/>
      <c r="B26" s="209" t="s">
        <v>653</v>
      </c>
      <c r="C26" s="178"/>
      <c r="D26" s="178"/>
      <c r="E26" s="178"/>
      <c r="F26" s="179">
        <f>IF(F13&gt;='Phase I - Summary'!$D$23,'Phase I - CF Affordable Rental'!C52,0)</f>
        <v>0</v>
      </c>
      <c r="G26" s="179">
        <f>IF(G13&gt;='Phase I - Summary'!$D$23,'Phase I - CF Affordable Rental'!D52,0)</f>
        <v>0</v>
      </c>
      <c r="H26" s="179">
        <f>IF(H13&gt;='Phase I - Summary'!$D$23,'Phase I - CF Affordable Rental'!E52,0)</f>
        <v>0</v>
      </c>
      <c r="I26" s="179">
        <f>IF(I13&gt;='Phase I - Summary'!$D$23,'Phase I - CF Affordable Rental'!F52,0)</f>
        <v>0</v>
      </c>
      <c r="J26" s="179">
        <f>IF(J13&gt;='Phase I - Summary'!$D$23,'Phase I - CF Affordable Rental'!G52,0)</f>
        <v>0</v>
      </c>
      <c r="K26" s="179">
        <f ca="1">IF(K13&gt;='Phase I - Summary'!$D$23,'Phase I - CF Affordable Rental'!H52,0)</f>
        <v>977786.7</v>
      </c>
      <c r="L26" s="179">
        <f ca="1">IF(L13&gt;='Phase I - Summary'!$D$23,'Phase I - CF Affordable Rental'!I52,0)</f>
        <v>899146.728</v>
      </c>
      <c r="M26" s="179">
        <f ca="1">IF(M13&gt;='Phase I - Summary'!$D$23,'Phase I - CF Affordable Rental'!J52,0)</f>
        <v>917129.66255999985</v>
      </c>
      <c r="N26" s="179">
        <f ca="1">IF(N13&gt;='Phase I - Summary'!$D$23,'Phase I - CF Affordable Rental'!K52,0)</f>
        <v>935472.25581120001</v>
      </c>
      <c r="O26" s="179">
        <f ca="1">IF(O13&gt;='Phase I - Summary'!$D$23,'Phase I - CF Affordable Rental'!L52,0)</f>
        <v>954181.7009274239</v>
      </c>
      <c r="P26" s="179">
        <f ca="1">IF(P13&gt;='Phase I - Summary'!$D$23,'Phase I - CF Affordable Rental'!M52,0)</f>
        <v>973265.33494597243</v>
      </c>
      <c r="Q26" s="179">
        <f ca="1">IF(Q13&gt;='Phase I - Summary'!$D$23,'Phase I - CF Affordable Rental'!N52,0)</f>
        <v>992730.64164489193</v>
      </c>
      <c r="R26" s="179">
        <f ca="1">IF(R13&gt;='Phase I - Summary'!$D$23,'Phase I - CF Affordable Rental'!O52,0)</f>
        <v>1012585.2544777896</v>
      </c>
      <c r="S26" s="179">
        <f ca="1">IF(S13&gt;='Phase I - Summary'!$D$23,'Phase I - CF Affordable Rental'!P52,0)</f>
        <v>1032836.9595673453</v>
      </c>
      <c r="T26" s="179">
        <f ca="1">IF(T13&gt;='Phase I - Summary'!$D$23,'Phase I - CF Affordable Rental'!Q52,0)</f>
        <v>1053493.6987586922</v>
      </c>
      <c r="U26" s="179">
        <f ca="1">IF(U13&gt;='Phase I - Summary'!$D$23,'Phase I - CF Affordable Rental'!R52,0)</f>
        <v>1074563.5727338663</v>
      </c>
      <c r="V26" s="179">
        <f ca="1">IF(V13&gt;='Phase I - Summary'!$D$23,'Phase I - CF Affordable Rental'!S52,0)</f>
        <v>1096054.8441885435</v>
      </c>
      <c r="W26" s="179">
        <f ca="1">IF(W13&gt;='Phase I - Summary'!$D$23,'Phase I - CF Affordable Rental'!T52,0)</f>
        <v>1117975.9410723143</v>
      </c>
      <c r="X26" s="179">
        <f ca="1">IF(X13&gt;='Phase I - Summary'!$D$23,'Phase I - CF Affordable Rental'!U52,0)</f>
        <v>1140335.4598937607</v>
      </c>
      <c r="Y26" s="179">
        <f ca="1">IF(Y13&gt;='Phase I - Summary'!$D$23,'Phase I - CF Affordable Rental'!V52,0)</f>
        <v>1163142.1690916358</v>
      </c>
      <c r="Z26" s="179">
        <f ca="1">IF(Z13&gt;='Phase I - Summary'!$D$23,'Phase I - CF Affordable Rental'!W52,0)</f>
        <v>1186405.0124734684</v>
      </c>
      <c r="AA26" s="179">
        <f ca="1">IF(AA13&gt;='Phase I - Summary'!$D$23,'Phase I - CF Affordable Rental'!X52,0)</f>
        <v>1210133.1127229379</v>
      </c>
      <c r="AB26" s="179">
        <f ca="1">IF(AB13&gt;='Phase I - Summary'!$D$23,'Phase I - CF Affordable Rental'!Y52,0)</f>
        <v>1234335.7749773967</v>
      </c>
      <c r="AC26" s="179">
        <f ca="1">IF(AC13&gt;='Phase I - Summary'!$D$23,'Phase I - CF Affordable Rental'!Z52,0)</f>
        <v>1259022.4904769445</v>
      </c>
      <c r="AD26" s="179">
        <f ca="1">IF(AD13&gt;='Phase I - Summary'!$D$23,'Phase I - CF Affordable Rental'!AA52,0)</f>
        <v>1284202.9402864836</v>
      </c>
      <c r="AE26" s="179">
        <f ca="1">IF(AE13&gt;='Phase I - Summary'!$D$23,'Phase I - CF Affordable Rental'!AB52,0)</f>
        <v>1309886.9990922133</v>
      </c>
      <c r="AF26" s="179">
        <f ca="1">IF(AF13&gt;='Phase I - Summary'!$D$23,'Phase I - CF Affordable Rental'!AC52,0)</f>
        <v>1336084.7390740572</v>
      </c>
      <c r="AG26" s="179">
        <f ca="1">IF(AG13&gt;='Phase I - Summary'!$D$23,'Phase I - CF Affordable Rental'!AD52,0)</f>
        <v>1362806.4338555385</v>
      </c>
      <c r="AH26" s="179">
        <f ca="1">IF(AH13&gt;='Phase I - Summary'!$D$23,'Phase I - CF Affordable Rental'!AE52,0)</f>
        <v>1390062.5625326491</v>
      </c>
      <c r="AI26" s="179">
        <f ca="1">IF(AI13&gt;='Phase I - Summary'!$D$23,'Phase I - CF Affordable Rental'!AF52,0)</f>
        <v>1417863.813783302</v>
      </c>
      <c r="AJ26" s="179">
        <f ca="1">IF(AJ13&gt;='Phase I - Summary'!$D$23,'Phase I - CF Affordable Rental'!AG52,0)</f>
        <v>1446221.0900589682</v>
      </c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81"/>
      <c r="EH26" s="181"/>
    </row>
    <row r="27" spans="1:138" ht="14.4">
      <c r="B27" t="s">
        <v>628</v>
      </c>
      <c r="C27" s="6"/>
      <c r="D27" s="6"/>
      <c r="E27" s="6"/>
      <c r="F27" s="179">
        <f>IF(F13&gt;='Phase I - Summary'!$D$23,'Phase I - CF Commercial'!C43,0)</f>
        <v>0</v>
      </c>
      <c r="G27" s="179">
        <f>IF(G13&gt;='Phase I - Summary'!$D$23,'Phase I - CF Commercial'!D43,0)</f>
        <v>0</v>
      </c>
      <c r="H27" s="179">
        <f>IF(H13&gt;='Phase I - Summary'!$D$23,'Phase I - CF Commercial'!E43,0)</f>
        <v>0</v>
      </c>
      <c r="I27" s="179">
        <f>IF(I13&gt;='Phase I - Summary'!$D$23,'Phase I - CF Commercial'!F43,0)</f>
        <v>0</v>
      </c>
      <c r="J27" s="179">
        <f>IF(J13&gt;='Phase I - Summary'!$D$23,'Phase I - CF Commercial'!G43,0)</f>
        <v>0</v>
      </c>
      <c r="K27" s="179">
        <f>IF(K13&gt;='Phase I - Summary'!$D$23,'Phase I - CF Commercial'!H43,0)</f>
        <v>14561361.298434602</v>
      </c>
      <c r="L27" s="179">
        <f>IF(L13&gt;='Phase I - Summary'!$D$23,'Phase I - CF Commercial'!I43,0)</f>
        <v>14998202.137387641</v>
      </c>
      <c r="M27" s="179">
        <f>IF(M13&gt;='Phase I - Summary'!$D$23,'Phase I - CF Commercial'!J43,0)</f>
        <v>15448148.201509267</v>
      </c>
      <c r="N27" s="179">
        <f>IF(N13&gt;='Phase I - Summary'!$D$23,'Phase I - CF Commercial'!K43,0)</f>
        <v>15911592.647554547</v>
      </c>
      <c r="O27" s="179">
        <f>IF(O13&gt;='Phase I - Summary'!$D$23,'Phase I - CF Commercial'!L43,0)</f>
        <v>16388940.426981181</v>
      </c>
      <c r="P27" s="179">
        <f>IF(P13&gt;='Phase I - Summary'!$D$23,'Phase I - CF Commercial'!M43,0)</f>
        <v>16880608.639790617</v>
      </c>
      <c r="Q27" s="179">
        <f>IF(Q13&gt;='Phase I - Summary'!$D$23,'Phase I - CF Commercial'!N43,0)</f>
        <v>17387026.898984335</v>
      </c>
      <c r="R27" s="179">
        <f>IF(R13&gt;='Phase I - Summary'!$D$23,'Phase I - CF Commercial'!O43,0)</f>
        <v>17908637.705953866</v>
      </c>
      <c r="S27" s="179">
        <f>IF(S13&gt;='Phase I - Summary'!$D$23,'Phase I - CF Commercial'!P43,0)</f>
        <v>18445896.83713248</v>
      </c>
      <c r="T27" s="179">
        <f>IF(T13&gt;='Phase I - Summary'!$D$23,'Phase I - CF Commercial'!Q43,0)</f>
        <v>18999273.742246456</v>
      </c>
      <c r="U27" s="179">
        <f>IF(U13&gt;='Phase I - Summary'!$D$23,'Phase I - CF Commercial'!R43,0)</f>
        <v>19569251.954513848</v>
      </c>
      <c r="V27" s="179">
        <f>IF(V13&gt;='Phase I - Summary'!$D$23,'Phase I - CF Commercial'!S43,0)</f>
        <v>20156329.513149265</v>
      </c>
      <c r="W27" s="179">
        <f>IF(W13&gt;='Phase I - Summary'!$D$23,'Phase I - CF Commercial'!T43,0)</f>
        <v>20761019.398543742</v>
      </c>
      <c r="X27" s="179">
        <f>IF(X13&gt;='Phase I - Summary'!$D$23,'Phase I - CF Commercial'!U43,0)</f>
        <v>21383849.98050005</v>
      </c>
      <c r="Y27" s="179">
        <f>IF(Y13&gt;='Phase I - Summary'!$D$23,'Phase I - CF Commercial'!V43,0)</f>
        <v>22025365.479915056</v>
      </c>
      <c r="Z27" s="179">
        <f>IF(Z13&gt;='Phase I - Summary'!$D$23,'Phase I - CF Commercial'!W43,0)</f>
        <v>22686126.444312509</v>
      </c>
      <c r="AA27" s="179">
        <f>IF(AA13&gt;='Phase I - Summary'!$D$23,'Phase I - CF Commercial'!X43,0)</f>
        <v>23366710.237641878</v>
      </c>
      <c r="AB27" s="179">
        <f>IF(AB13&gt;='Phase I - Summary'!$D$23,'Phase I - CF Commercial'!Y43,0)</f>
        <v>24067711.544771135</v>
      </c>
      <c r="AC27" s="179">
        <f>IF(AC13&gt;='Phase I - Summary'!$D$23,'Phase I - CF Commercial'!Z43,0)</f>
        <v>24789742.891114268</v>
      </c>
      <c r="AD27" s="179">
        <f>IF(AD13&gt;='Phase I - Summary'!$D$23,'Phase I - CF Commercial'!AA43,0)</f>
        <v>25533435.177847698</v>
      </c>
      <c r="AE27" s="179">
        <f>IF(AE13&gt;='Phase I - Summary'!$D$23,'Phase I - CF Commercial'!AB43,0)</f>
        <v>26299438.233183131</v>
      </c>
      <c r="AF27" s="179">
        <f>IF(AF13&gt;='Phase I - Summary'!$D$23,'Phase I - CF Commercial'!AC43,0)</f>
        <v>27088421.380178619</v>
      </c>
      <c r="AG27" s="179">
        <f>IF(AG13&gt;='Phase I - Summary'!$D$23,'Phase I - CF Commercial'!AD43,0)</f>
        <v>27901074.021583982</v>
      </c>
      <c r="AH27" s="179">
        <f>IF(AH13&gt;='Phase I - Summary'!$D$23,'Phase I - CF Commercial'!AE43,0)</f>
        <v>28738106.242231503</v>
      </c>
      <c r="AI27" s="179">
        <f>IF(AI13&gt;='Phase I - Summary'!$D$23,'Phase I - CF Commercial'!AF43,0)</f>
        <v>29600249.429498442</v>
      </c>
      <c r="AJ27" s="179">
        <f>IF(AJ13&gt;='Phase I - Summary'!$D$23,'Phase I - CF Commercial'!AG43,0)</f>
        <v>30488256.912383396</v>
      </c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</row>
    <row r="28" spans="1:138" ht="14.4">
      <c r="B28" t="s">
        <v>26</v>
      </c>
      <c r="C28" s="6"/>
      <c r="D28" s="6"/>
      <c r="E28" s="6"/>
      <c r="F28" s="179">
        <f>IF(F13&gt;='Phase I - Summary'!$D$23,'Phase I - CF Hotel'!C42,0)</f>
        <v>0</v>
      </c>
      <c r="G28" s="179">
        <f>IF(G13&gt;='Phase I - Summary'!$D$23,'Phase I - CF Hotel'!D42,0)</f>
        <v>0</v>
      </c>
      <c r="H28" s="179">
        <f>IF(H13&gt;='Phase I - Summary'!$D$23,'Phase I - CF Hotel'!E42,0)</f>
        <v>0</v>
      </c>
      <c r="I28" s="179">
        <f>IF(I13&gt;='Phase I - Summary'!$D$23,'Phase I - CF Hotel'!F42,0)</f>
        <v>0</v>
      </c>
      <c r="J28" s="179">
        <f>IF(J13&gt;='Phase I - Summary'!$D$23,'Phase I - CF Hotel'!G42,0)</f>
        <v>0</v>
      </c>
      <c r="K28" s="179">
        <f>IF(K13&gt;='Phase I - Summary'!$D$23,'Phase I - CF Hotel'!H42,0)</f>
        <v>0</v>
      </c>
      <c r="L28" s="179">
        <f>IF(L13&gt;='Phase I - Summary'!$D$23,'Phase I - CF Hotel'!I42,0)</f>
        <v>0</v>
      </c>
      <c r="M28" s="179">
        <f>IF(M13&gt;='Phase I - Summary'!$D$23,'Phase I - CF Hotel'!J42,0)</f>
        <v>0</v>
      </c>
      <c r="N28" s="179">
        <f>IF(N13&gt;='Phase I - Summary'!$D$23,'Phase I - CF Hotel'!K42,0)</f>
        <v>0</v>
      </c>
      <c r="O28" s="179">
        <f>IF(O13&gt;='Phase I - Summary'!$D$23,'Phase I - CF Hotel'!L42,0)</f>
        <v>0</v>
      </c>
      <c r="P28" s="179">
        <f>IF(P13&gt;='Phase I - Summary'!$D$23,'Phase I - CF Hotel'!M42,0)</f>
        <v>0</v>
      </c>
      <c r="Q28" s="179">
        <f>IF(Q13&gt;='Phase I - Summary'!$D$23,'Phase I - CF Hotel'!N42,0)</f>
        <v>0</v>
      </c>
      <c r="R28" s="179">
        <f>IF(R13&gt;='Phase I - Summary'!$D$23,'Phase I - CF Hotel'!O42,0)</f>
        <v>0</v>
      </c>
      <c r="S28" s="179">
        <f>IF(S13&gt;='Phase I - Summary'!$D$23,'Phase I - CF Hotel'!P42,0)</f>
        <v>0</v>
      </c>
      <c r="T28" s="179">
        <f>IF(T13&gt;='Phase I - Summary'!$D$23,'Phase I - CF Hotel'!Q42,0)</f>
        <v>0</v>
      </c>
      <c r="U28" s="179">
        <f>IF(U13&gt;='Phase I - Summary'!$D$23,'Phase I - CF Hotel'!R42,0)</f>
        <v>0</v>
      </c>
      <c r="V28" s="179">
        <f>IF(V13&gt;='Phase I - Summary'!$D$23,'Phase I - CF Hotel'!S42,0)</f>
        <v>0</v>
      </c>
      <c r="W28" s="179">
        <f>IF(W13&gt;='Phase I - Summary'!$D$23,'Phase I - CF Hotel'!T42,0)</f>
        <v>0</v>
      </c>
      <c r="X28" s="179">
        <f>IF(X13&gt;='Phase I - Summary'!$D$23,'Phase I - CF Hotel'!U42,0)</f>
        <v>0</v>
      </c>
      <c r="Y28" s="179">
        <f>IF(Y13&gt;='Phase I - Summary'!$D$23,'Phase I - CF Hotel'!V42,0)</f>
        <v>0</v>
      </c>
      <c r="Z28" s="179">
        <f>IF(Z13&gt;='Phase I - Summary'!$D$23,'Phase I - CF Hotel'!W42,0)</f>
        <v>0</v>
      </c>
      <c r="AA28" s="179">
        <f>IF(AA13&gt;='Phase I - Summary'!$D$23,'Phase I - CF Hotel'!X42,0)</f>
        <v>0</v>
      </c>
      <c r="AB28" s="179">
        <f>IF(AB13&gt;='Phase I - Summary'!$D$23,'Phase I - CF Hotel'!Y42,0)</f>
        <v>0</v>
      </c>
      <c r="AC28" s="179">
        <f>IF(AC13&gt;='Phase I - Summary'!$D$23,'Phase I - CF Hotel'!Z42,0)</f>
        <v>0</v>
      </c>
      <c r="AD28" s="179">
        <f>IF(AD13&gt;='Phase I - Summary'!$D$23,'Phase I - CF Hotel'!AA42,0)</f>
        <v>0</v>
      </c>
      <c r="AE28" s="179">
        <f>IF(AE13&gt;='Phase I - Summary'!$D$23,'Phase I - CF Hotel'!AB42,0)</f>
        <v>0</v>
      </c>
      <c r="AF28" s="179">
        <f>IF(AF13&gt;='Phase I - Summary'!$D$23,'Phase I - CF Hotel'!AC42,0)</f>
        <v>0</v>
      </c>
      <c r="AG28" s="179">
        <f>IF(AG13&gt;='Phase I - Summary'!$D$23,'Phase I - CF Hotel'!AD42,0)</f>
        <v>0</v>
      </c>
      <c r="AH28" s="179">
        <f>IF(AH13&gt;='Phase I - Summary'!$D$23,'Phase I - CF Hotel'!AE42,0)</f>
        <v>0</v>
      </c>
      <c r="AI28" s="179">
        <f>IF(AI13&gt;='Phase I - Summary'!$D$23,'Phase I - CF Hotel'!AF42,0)</f>
        <v>0</v>
      </c>
      <c r="AJ28" s="179">
        <f>IF(AJ13&gt;='Phase I - Summary'!$D$23,'Phase I - CF Hotel'!AG42,0)</f>
        <v>0</v>
      </c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  <c r="EC28" s="189"/>
      <c r="ED28" s="189"/>
      <c r="EE28" s="189"/>
      <c r="EF28" s="189"/>
      <c r="EG28" s="189"/>
      <c r="EH28" s="189"/>
    </row>
    <row r="29" spans="1:138">
      <c r="B29" t="s">
        <v>25</v>
      </c>
      <c r="F29" s="179">
        <f>IF(F13&gt;='Phase I - Summary'!$D$23,'Phase I - CF Retail'!C45,0)</f>
        <v>0</v>
      </c>
      <c r="G29" s="179">
        <f>IF(G13&gt;='Phase I - Summary'!$D$23,'Phase I - CF Retail'!D45,0)</f>
        <v>0</v>
      </c>
      <c r="H29" s="179">
        <f>IF(H13&gt;='Phase I - Summary'!$D$23,'Phase I - CF Retail'!E45,0)</f>
        <v>0</v>
      </c>
      <c r="I29" s="179">
        <f>IF(I13&gt;='Phase I - Summary'!$D$23,'Phase I - CF Retail'!F45,0)</f>
        <v>0</v>
      </c>
      <c r="J29" s="179">
        <f>IF(J13&gt;='Phase I - Summary'!$D$23,'Phase I - CF Retail'!G45,0)</f>
        <v>0</v>
      </c>
      <c r="K29" s="179">
        <f>IF(K13&gt;='Phase I - Summary'!$D$23,'Phase I - CF Retail'!H45,0)</f>
        <v>2595709.9079999998</v>
      </c>
      <c r="L29" s="179">
        <f>IF(L13&gt;='Phase I - Summary'!$D$23,'Phase I - CF Retail'!I45,0)</f>
        <v>2673581.20524</v>
      </c>
      <c r="M29" s="179">
        <f>IF(M13&gt;='Phase I - Summary'!$D$23,'Phase I - CF Retail'!J45,0)</f>
        <v>2753788.6413971996</v>
      </c>
      <c r="N29" s="179">
        <f>IF(N13&gt;='Phase I - Summary'!$D$23,'Phase I - CF Retail'!K45,0)</f>
        <v>2836402.3006391157</v>
      </c>
      <c r="O29" s="179">
        <f>IF(O13&gt;='Phase I - Summary'!$D$23,'Phase I - CF Retail'!L45,0)</f>
        <v>2921494.369658289</v>
      </c>
      <c r="P29" s="179">
        <f>IF(P13&gt;='Phase I - Summary'!$D$23,'Phase I - CF Retail'!M45,0)</f>
        <v>3009139.2007480375</v>
      </c>
      <c r="Q29" s="179">
        <f>IF(Q13&gt;='Phase I - Summary'!$D$23,'Phase I - CF Retail'!N45,0)</f>
        <v>3099413.3767704791</v>
      </c>
      <c r="R29" s="179">
        <f>IF(R13&gt;='Phase I - Summary'!$D$23,'Phase I - CF Retail'!O45,0)</f>
        <v>3192395.7780735935</v>
      </c>
      <c r="S29" s="179">
        <f>IF(S13&gt;='Phase I - Summary'!$D$23,'Phase I - CF Retail'!P45,0)</f>
        <v>3288167.6514158007</v>
      </c>
      <c r="T29" s="179">
        <f>IF(T13&gt;='Phase I - Summary'!$D$23,'Phase I - CF Retail'!Q45,0)</f>
        <v>3386812.6809582748</v>
      </c>
      <c r="U29" s="179">
        <f>IF(U13&gt;='Phase I - Summary'!$D$23,'Phase I - CF Retail'!R45,0)</f>
        <v>3488417.061387023</v>
      </c>
      <c r="V29" s="179">
        <f>IF(V13&gt;='Phase I - Summary'!$D$23,'Phase I - CF Retail'!S45,0)</f>
        <v>3593069.573228634</v>
      </c>
      <c r="W29" s="179">
        <f>IF(W13&gt;='Phase I - Summary'!$D$23,'Phase I - CF Retail'!T45,0)</f>
        <v>3700861.6604254926</v>
      </c>
      <c r="X29" s="179">
        <f>IF(X13&gt;='Phase I - Summary'!$D$23,'Phase I - CF Retail'!U45,0)</f>
        <v>3811887.5102382572</v>
      </c>
      <c r="Y29" s="179">
        <f>IF(Y13&gt;='Phase I - Summary'!$D$23,'Phase I - CF Retail'!V45,0)</f>
        <v>3926244.1355454046</v>
      </c>
      <c r="Z29" s="179">
        <f>IF(Z13&gt;='Phase I - Summary'!$D$23,'Phase I - CF Retail'!W45,0)</f>
        <v>4044031.4596117674</v>
      </c>
      <c r="AA29" s="179">
        <f>IF(AA13&gt;='Phase I - Summary'!$D$23,'Phase I - CF Retail'!X45,0)</f>
        <v>4165352.4034001199</v>
      </c>
      <c r="AB29" s="179">
        <f>IF(AB13&gt;='Phase I - Summary'!$D$23,'Phase I - CF Retail'!Y45,0)</f>
        <v>4290312.9755021231</v>
      </c>
      <c r="AC29" s="179">
        <f>IF(AC13&gt;='Phase I - Summary'!$D$23,'Phase I - CF Retail'!Z45,0)</f>
        <v>4419022.3647671873</v>
      </c>
      <c r="AD29" s="179">
        <f>IF(AD13&gt;='Phase I - Summary'!$D$23,'Phase I - CF Retail'!AA45,0)</f>
        <v>4551593.0357102025</v>
      </c>
      <c r="AE29" s="179">
        <f>IF(AE13&gt;='Phase I - Summary'!$D$23,'Phase I - CF Retail'!AB45,0)</f>
        <v>4688140.8267815094</v>
      </c>
      <c r="AF29" s="179">
        <f>IF(AF13&gt;='Phase I - Summary'!$D$23,'Phase I - CF Retail'!AC45,0)</f>
        <v>4828785.0515849534</v>
      </c>
      <c r="AG29" s="179">
        <f>IF(AG13&gt;='Phase I - Summary'!$D$23,'Phase I - CF Retail'!AD45,0)</f>
        <v>4973648.6031325022</v>
      </c>
      <c r="AH29" s="179">
        <f>IF(AH13&gt;='Phase I - Summary'!$D$23,'Phase I - CF Retail'!AE45,0)</f>
        <v>5122858.0612264769</v>
      </c>
      <c r="AI29" s="179">
        <f>IF(AI13&gt;='Phase I - Summary'!$D$23,'Phase I - CF Retail'!AF45,0)</f>
        <v>5276543.8030632716</v>
      </c>
      <c r="AJ29" s="179">
        <f>IF(AJ13&gt;='Phase I - Summary'!$D$23,'Phase I - CF Retail'!AG45,0)</f>
        <v>5434840.1171551691</v>
      </c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81"/>
      <c r="EH29" s="181"/>
    </row>
    <row r="30" spans="1:138">
      <c r="B30" s="42" t="s">
        <v>630</v>
      </c>
      <c r="C30" s="42"/>
      <c r="D30" s="59">
        <f ca="1">SUM(F30:Q30)</f>
        <v>192637631.84624186</v>
      </c>
      <c r="E30" s="42"/>
      <c r="F30" s="182">
        <f>SUM(F25:F29)</f>
        <v>0</v>
      </c>
      <c r="G30" s="182">
        <f t="shared" ref="G30:AJ30" si="21">SUM(G25:G29)</f>
        <v>0</v>
      </c>
      <c r="H30" s="182">
        <f t="shared" si="21"/>
        <v>0</v>
      </c>
      <c r="I30" s="182">
        <f t="shared" si="21"/>
        <v>0</v>
      </c>
      <c r="J30" s="182">
        <f t="shared" si="21"/>
        <v>0</v>
      </c>
      <c r="K30" s="182">
        <f t="shared" ca="1" si="21"/>
        <v>21079276.906434603</v>
      </c>
      <c r="L30" s="182">
        <f t="shared" ca="1" si="21"/>
        <v>26544773.950627644</v>
      </c>
      <c r="M30" s="182">
        <f t="shared" ca="1" si="21"/>
        <v>27332125.701866467</v>
      </c>
      <c r="N30" s="182">
        <f t="shared" ca="1" si="21"/>
        <v>28142918.17629686</v>
      </c>
      <c r="O30" s="182">
        <f t="shared" ca="1" si="21"/>
        <v>28977850.999027651</v>
      </c>
      <c r="P30" s="182">
        <f t="shared" ca="1" si="21"/>
        <v>29837644.711989209</v>
      </c>
      <c r="Q30" s="182">
        <f t="shared" ca="1" si="21"/>
        <v>30723041.399999421</v>
      </c>
      <c r="R30" s="182">
        <f t="shared" ca="1" si="21"/>
        <v>31634805.33558296</v>
      </c>
      <c r="S30" s="182">
        <f t="shared" ca="1" si="21"/>
        <v>32573723.643105671</v>
      </c>
      <c r="T30" s="182">
        <f t="shared" ca="1" si="21"/>
        <v>33540606.982803166</v>
      </c>
      <c r="U30" s="182">
        <f t="shared" ca="1" si="21"/>
        <v>34536290.255299672</v>
      </c>
      <c r="V30" s="182">
        <f t="shared" ca="1" si="21"/>
        <v>35561633.327231325</v>
      </c>
      <c r="W30" s="182">
        <f t="shared" ca="1" si="21"/>
        <v>36617521.778606378</v>
      </c>
      <c r="X30" s="182">
        <f t="shared" ca="1" si="21"/>
        <v>37704867.672553845</v>
      </c>
      <c r="Y30" s="182">
        <f t="shared" ca="1" si="21"/>
        <v>38824610.348131523</v>
      </c>
      <c r="Z30" s="182">
        <f t="shared" ca="1" si="21"/>
        <v>39977717.236884557</v>
      </c>
      <c r="AA30" s="182">
        <f t="shared" ca="1" si="21"/>
        <v>41165184.703866348</v>
      </c>
      <c r="AB30" s="182">
        <f t="shared" ca="1" si="21"/>
        <v>42388038.913855113</v>
      </c>
      <c r="AC30" s="182">
        <f t="shared" ca="1" si="21"/>
        <v>43647336.723520987</v>
      </c>
      <c r="AD30" s="182">
        <f t="shared" ca="1" si="21"/>
        <v>44944166.600321852</v>
      </c>
      <c r="AE30" s="182">
        <f t="shared" ca="1" si="21"/>
        <v>46279649.568928644</v>
      </c>
      <c r="AF30" s="182">
        <f t="shared" ca="1" si="21"/>
        <v>47654940.18600557</v>
      </c>
      <c r="AG30" s="182">
        <f t="shared" ca="1" si="21"/>
        <v>49071227.544195004</v>
      </c>
      <c r="AH30" s="182">
        <f t="shared" ca="1" si="21"/>
        <v>50529736.306182303</v>
      </c>
      <c r="AI30" s="182">
        <f t="shared" ca="1" si="21"/>
        <v>52031727.769742437</v>
      </c>
      <c r="AJ30" s="182">
        <f t="shared" ca="1" si="21"/>
        <v>53578500.964696877</v>
      </c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81"/>
      <c r="EH30" s="181"/>
    </row>
    <row r="31" spans="1:138">
      <c r="A31" s="178"/>
      <c r="B31" s="177"/>
      <c r="C31" s="178"/>
      <c r="D31" s="178"/>
      <c r="E31" s="178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81"/>
      <c r="EH31" s="181"/>
    </row>
    <row r="32" spans="1:138">
      <c r="B32" s="219" t="s">
        <v>413</v>
      </c>
    </row>
    <row r="33" spans="1:138">
      <c r="B33" t="str">
        <f>B25</f>
        <v>Market Rate Rental</v>
      </c>
      <c r="F33" s="7">
        <f>IF(F13&gt;='Phase I - Summary'!$D$23,-SUM('Phase I - CF MF Market Rental'!C55:C57),0)</f>
        <v>0</v>
      </c>
      <c r="G33" s="7">
        <f>IF(G13&gt;='Phase I - Summary'!$D$23,-SUM('Phase I - CF MF Market Rental'!D55:D57),0)</f>
        <v>0</v>
      </c>
      <c r="H33" s="7">
        <f>IF(H13&gt;='Phase I - Summary'!$D$23,-SUM('Phase I - CF MF Market Rental'!E55:E57),0)</f>
        <v>0</v>
      </c>
      <c r="I33" s="7">
        <f>IF(I13&gt;='Phase I - Summary'!$D$23,-SUM('Phase I - CF MF Market Rental'!F55:F57),0)</f>
        <v>0</v>
      </c>
      <c r="J33" s="7">
        <f>IF(J13&gt;='Phase I - Summary'!$D$23,-SUM('Phase I - CF MF Market Rental'!G55:G57),0)</f>
        <v>0</v>
      </c>
      <c r="K33" s="7">
        <f ca="1">IF(K13&gt;='Phase I - Summary'!$D$23,-SUM('Phase I - CF MF Market Rental'!H55:H57),0)</f>
        <v>1065082.08</v>
      </c>
      <c r="L33" s="7">
        <f ca="1">IF(L13&gt;='Phase I - Summary'!$D$23,-SUM('Phase I - CF MF Market Rental'!I55:I57),0)</f>
        <v>2940765.1375200003</v>
      </c>
      <c r="M33" s="7">
        <f ca="1">IF(M13&gt;='Phase I - Summary'!$D$23,-SUM('Phase I - CF MF Market Rental'!J55:J57),0)</f>
        <v>3086282.6297999513</v>
      </c>
      <c r="N33" s="7">
        <f ca="1">IF(N13&gt;='Phase I - Summary'!$D$23,-SUM('Phase I - CF MF Market Rental'!K55:K57),0)</f>
        <v>3239064.7504789121</v>
      </c>
      <c r="O33" s="7">
        <f ca="1">IF(O13&gt;='Phase I - Summary'!$D$23,-SUM('Phase I - CF MF Market Rental'!L55:L57),0)</f>
        <v>3399476.1330525605</v>
      </c>
      <c r="P33" s="7">
        <f ca="1">IF(P13&gt;='Phase I - Summary'!$D$23,-SUM('Phase I - CF MF Market Rental'!M55:M57),0)</f>
        <v>3567899.7727704188</v>
      </c>
      <c r="Q33" s="7">
        <f ca="1">IF(Q13&gt;='Phase I - Summary'!$D$23,-SUM('Phase I - CF MF Market Rental'!N55:N57),0)</f>
        <v>3744737.9530795617</v>
      </c>
      <c r="R33" s="7">
        <f ca="1">IF(R13&gt;='Phase I - Summary'!$D$23,-SUM('Phase I - CF MF Market Rental'!O55:O57),0)</f>
        <v>3930413.218866556</v>
      </c>
      <c r="S33" s="7">
        <f ca="1">IF(S13&gt;='Phase I - Summary'!$D$23,-SUM('Phase I - CF MF Market Rental'!P55:P57),0)</f>
        <v>4125369.3988632085</v>
      </c>
      <c r="T33" s="7">
        <f ca="1">IF(T13&gt;='Phase I - Summary'!$D$23,-SUM('Phase I - CF MF Market Rental'!Q55:Q57),0)</f>
        <v>4330072.6797013506</v>
      </c>
      <c r="U33" s="7">
        <f ca="1">IF(U13&gt;='Phase I - Summary'!$D$23,-SUM('Phase I - CF MF Market Rental'!R55:R57),0)</f>
        <v>4545012.7342275735</v>
      </c>
      <c r="V33" s="7">
        <f ca="1">IF(V13&gt;='Phase I - Summary'!$D$23,-SUM('Phase I - CF MF Market Rental'!S55:S57),0)</f>
        <v>4770703.9068208225</v>
      </c>
      <c r="W33" s="7">
        <f ca="1">IF(W13&gt;='Phase I - Summary'!$D$23,-SUM('Phase I - CF MF Market Rental'!T55:T57),0)</f>
        <v>5007686.458594529</v>
      </c>
      <c r="X33" s="7">
        <f ca="1">IF(X13&gt;='Phase I - Summary'!$D$23,-SUM('Phase I - CF MF Market Rental'!U55:U57),0)</f>
        <v>5256527.8755106442</v>
      </c>
      <c r="Y33" s="7">
        <f ca="1">IF(Y13&gt;='Phase I - Summary'!$D$23,-SUM('Phase I - CF MF Market Rental'!V55:V57),0)</f>
        <v>5517824.2425860511</v>
      </c>
      <c r="Z33" s="7">
        <f ca="1">IF(Z13&gt;='Phase I - Summary'!$D$23,-SUM('Phase I - CF MF Market Rental'!W55:W57),0)</f>
        <v>5792201.6875327099</v>
      </c>
      <c r="AA33" s="7">
        <f ca="1">IF(AA13&gt;='Phase I - Summary'!$D$23,-SUM('Phase I - CF MF Market Rental'!X55:X57),0)</f>
        <v>6080317.8973418241</v>
      </c>
      <c r="AB33" s="7">
        <f ca="1">IF(AB13&gt;='Phase I - Summary'!$D$23,-SUM('Phase I - CF MF Market Rental'!Y55:Y57),0)</f>
        <v>6382863.7114998801</v>
      </c>
      <c r="AC33" s="7">
        <f ca="1">IF(AC13&gt;='Phase I - Summary'!$D$23,-SUM('Phase I - CF MF Market Rental'!Z55:Z57),0)</f>
        <v>6700564.7957109064</v>
      </c>
      <c r="AD33" s="7">
        <f ca="1">IF(AD13&gt;='Phase I - Summary'!$D$23,-SUM('Phase I - CF MF Market Rental'!AA55:AA57),0)</f>
        <v>7034183.4001952885</v>
      </c>
      <c r="AE33" s="7">
        <f ca="1">IF(AE13&gt;='Phase I - Summary'!$D$23,-SUM('Phase I - CF MF Market Rental'!AB55:AB57),0)</f>
        <v>7384520.206841222</v>
      </c>
      <c r="AF33" s="7">
        <f ca="1">IF(AF13&gt;='Phase I - Summary'!$D$23,-SUM('Phase I - CF MF Market Rental'!AC55:AC57),0)</f>
        <v>7752416.2697013188</v>
      </c>
      <c r="AG33" s="7">
        <f ca="1">IF(AG13&gt;='Phase I - Summary'!$D$23,-SUM('Phase I - CF MF Market Rental'!AD55:AD57),0)</f>
        <v>8138755.0535539556</v>
      </c>
      <c r="AH33" s="7">
        <f ca="1">IF(AH13&gt;='Phase I - Summary'!$D$23,-SUM('Phase I - CF MF Market Rental'!AE55:AE57),0)</f>
        <v>8544464.5754877105</v>
      </c>
      <c r="AI33" s="7">
        <f ca="1">IF(AI13&gt;='Phase I - Summary'!$D$23,-SUM('Phase I - CF MF Market Rental'!AF55:AF57),0)</f>
        <v>8970519.6547180284</v>
      </c>
      <c r="AJ33" s="7">
        <f ca="1">IF(AJ13&gt;='Phase I - Summary'!$D$23,-SUM('Phase I - CF MF Market Rental'!AG55:AG57),0)</f>
        <v>9417944.2761087194</v>
      </c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81"/>
      <c r="EH33" s="181"/>
    </row>
    <row r="34" spans="1:138">
      <c r="A34" s="178"/>
      <c r="B34" s="178" t="str">
        <f>B26</f>
        <v>Affordable Rental</v>
      </c>
      <c r="C34" s="178"/>
      <c r="D34" s="178"/>
      <c r="E34" s="178"/>
      <c r="F34" s="179">
        <f>IF(F13&gt;='Phase I - Summary'!$D$23,-SUM('Phase I - CF Affordable Rental'!C54:C56),0)</f>
        <v>0</v>
      </c>
      <c r="G34" s="179">
        <f>IF(G13&gt;='Phase I - Summary'!$D$23,-SUM('Phase I - CF Affordable Rental'!D54:D56),0)</f>
        <v>0</v>
      </c>
      <c r="H34" s="179">
        <f>IF(H13&gt;='Phase I - Summary'!$D$23,-SUM('Phase I - CF Affordable Rental'!E54:E56),0)</f>
        <v>0</v>
      </c>
      <c r="I34" s="179">
        <f>IF(I13&gt;='Phase I - Summary'!$D$23,-SUM('Phase I - CF Affordable Rental'!F54:F56),0)</f>
        <v>0</v>
      </c>
      <c r="J34" s="179">
        <f>IF(J13&gt;='Phase I - Summary'!$D$23,-SUM('Phase I - CF Affordable Rental'!G54:G56),0)</f>
        <v>0</v>
      </c>
      <c r="K34" s="179">
        <f ca="1">IF(K13&gt;='Phase I - Summary'!$D$23,-SUM('Phase I - CF Affordable Rental'!H54:H56),0)</f>
        <v>352737.14399999997</v>
      </c>
      <c r="L34" s="179">
        <f ca="1">IF(L13&gt;='Phase I - Summary'!$D$23,-SUM('Phase I - CF Affordable Rental'!I54:I56),0)</f>
        <v>330488.83972800005</v>
      </c>
      <c r="M34" s="179">
        <f ca="1">IF(M13&gt;='Phase I - Summary'!$D$23,-SUM('Phase I - CF Affordable Rental'!J54:J56),0)</f>
        <v>343473.73698798713</v>
      </c>
      <c r="N34" s="179">
        <f ca="1">IF(N13&gt;='Phase I - Summary'!$D$23,-SUM('Phase I - CF Affordable Rental'!K54:K56),0)</f>
        <v>356975.88705997739</v>
      </c>
      <c r="O34" s="179">
        <f ca="1">IF(O13&gt;='Phase I - Summary'!$D$23,-SUM('Phase I - CF Affordable Rental'!L54:L56),0)</f>
        <v>371016.04021682945</v>
      </c>
      <c r="P34" s="179">
        <f ca="1">IF(P13&gt;='Phase I - Summary'!$D$23,-SUM('Phase I - CF Affordable Rental'!M54:M56),0)</f>
        <v>385615.78210761107</v>
      </c>
      <c r="Q34" s="179">
        <f ca="1">IF(Q13&gt;='Phase I - Summary'!$D$23,-SUM('Phase I - CF Affordable Rental'!N54:N56),0)</f>
        <v>400797.56744810054</v>
      </c>
      <c r="R34" s="179">
        <f ca="1">IF(R13&gt;='Phase I - Summary'!$D$23,-SUM('Phase I - CF Affordable Rental'!O54:O56),0)</f>
        <v>416584.75507121265</v>
      </c>
      <c r="S34" s="179">
        <f ca="1">IF(S13&gt;='Phase I - Summary'!$D$23,-SUM('Phase I - CF Affordable Rental'!P54:P56),0)</f>
        <v>433001.64439226268</v>
      </c>
      <c r="T34" s="179">
        <f ca="1">IF(T13&gt;='Phase I - Summary'!$D$23,-SUM('Phase I - CF Affordable Rental'!Q54:Q56),0)</f>
        <v>450073.51334620663</v>
      </c>
      <c r="U34" s="179">
        <f ca="1">IF(U13&gt;='Phase I - Summary'!$D$23,-SUM('Phase I - CF Affordable Rental'!R54:R56),0)</f>
        <v>467826.65785629989</v>
      </c>
      <c r="V34" s="179">
        <f ca="1">IF(V13&gt;='Phase I - Summary'!$D$23,-SUM('Phase I - CF Affordable Rental'!S54:S56),0)</f>
        <v>486288.43289601884</v>
      </c>
      <c r="W34" s="179">
        <f ca="1">IF(W13&gt;='Phase I - Summary'!$D$23,-SUM('Phase I - CF Affordable Rental'!T54:T56),0)</f>
        <v>505487.29520858912</v>
      </c>
      <c r="X34" s="179">
        <f ca="1">IF(X13&gt;='Phase I - Summary'!$D$23,-SUM('Phase I - CF Affordable Rental'!U54:U56),0)</f>
        <v>525452.84775105864</v>
      </c>
      <c r="Y34" s="179">
        <f ca="1">IF(Y13&gt;='Phase I - Summary'!$D$23,-SUM('Phase I - CF Affordable Rental'!V54:V56),0)</f>
        <v>546215.88593256474</v>
      </c>
      <c r="Z34" s="179">
        <f ca="1">IF(Z13&gt;='Phase I - Summary'!$D$23,-SUM('Phase I - CF Affordable Rental'!W54:W56),0)</f>
        <v>567808.44571925083</v>
      </c>
      <c r="AA34" s="179">
        <f ca="1">IF(AA13&gt;='Phase I - Summary'!$D$23,-SUM('Phase I - CF Affordable Rental'!X54:X56),0)</f>
        <v>590263.85368121951</v>
      </c>
      <c r="AB34" s="179">
        <f ca="1">IF(AB13&gt;='Phase I - Summary'!$D$23,-SUM('Phase I - CF Affordable Rental'!Y54:Y56),0)</f>
        <v>613616.77905994991</v>
      </c>
      <c r="AC34" s="179">
        <f ca="1">IF(AC13&gt;='Phase I - Summary'!$D$23,-SUM('Phase I - CF Affordable Rental'!Z54:Z56),0)</f>
        <v>637903.28793778096</v>
      </c>
      <c r="AD34" s="179">
        <f ca="1">IF(AD13&gt;='Phase I - Summary'!$D$23,-SUM('Phase I - CF Affordable Rental'!AA54:AA56),0)</f>
        <v>663160.89959435281</v>
      </c>
      <c r="AE34" s="179">
        <f ca="1">IF(AE13&gt;='Phase I - Summary'!$D$23,-SUM('Phase I - CF Affordable Rental'!AB54:AB56),0)</f>
        <v>689428.64513832785</v>
      </c>
      <c r="AF34" s="179">
        <f ca="1">IF(AF13&gt;='Phase I - Summary'!$D$23,-SUM('Phase I - CF Affordable Rental'!AC54:AC56),0)</f>
        <v>716747.12850628642</v>
      </c>
      <c r="AG34" s="179">
        <f ca="1">IF(AG13&gt;='Phase I - Summary'!$D$23,-SUM('Phase I - CF Affordable Rental'!AD54:AD56),0)</f>
        <v>745158.58992439834</v>
      </c>
      <c r="AH34" s="179">
        <f ca="1">IF(AH13&gt;='Phase I - Summary'!$D$23,-SUM('Phase I - CF Affordable Rental'!AE54:AE56),0)</f>
        <v>774706.97193233063</v>
      </c>
      <c r="AI34" s="179">
        <f ca="1">IF(AI13&gt;='Phase I - Summary'!$D$23,-SUM('Phase I - CF Affordable Rental'!AF54:AF56),0)</f>
        <v>805437.98807288345</v>
      </c>
      <c r="AJ34" s="179">
        <f ca="1">IF(AJ13&gt;='Phase I - Summary'!$D$23,-SUM('Phase I - CF Affordable Rental'!AG54:AG56),0)</f>
        <v>837399.19435500458</v>
      </c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81"/>
      <c r="EH34" s="181"/>
    </row>
    <row r="35" spans="1:138">
      <c r="B35" t="str">
        <f>B27</f>
        <v>Commercial</v>
      </c>
      <c r="F35" s="7">
        <f>IF(F13&gt;='Phase I - Summary'!$D$23,'Phase I - CF Commercial'!C51-SUM('Phase I - CF Commercial'!C56:C57),0)</f>
        <v>0</v>
      </c>
      <c r="G35" s="7">
        <f>IF(G13&gt;='Phase I - Summary'!$D$23,'Phase I - CF Commercial'!D51-SUM('Phase I - CF Commercial'!D56:D57),0)</f>
        <v>0</v>
      </c>
      <c r="H35" s="7">
        <f>IF(H13&gt;='Phase I - Summary'!$D$23,'Phase I - CF Commercial'!E51-SUM('Phase I - CF Commercial'!E56:E57),0)</f>
        <v>0</v>
      </c>
      <c r="I35" s="7">
        <f>IF(I13&gt;='Phase I - Summary'!$D$23,'Phase I - CF Commercial'!F51-SUM('Phase I - CF Commercial'!F56:F57),0)</f>
        <v>0</v>
      </c>
      <c r="J35" s="7">
        <f>IF(J13&gt;='Phase I - Summary'!$D$23,'Phase I - CF Commercial'!G51-SUM('Phase I - CF Commercial'!G56:G57),0)</f>
        <v>0</v>
      </c>
      <c r="K35" s="7">
        <f>IF(K13&gt;='Phase I - Summary'!$D$23,'Phase I - CF Commercial'!H51-SUM('Phase I - CF Commercial'!H56:H57),0)</f>
        <v>35467387.431577504</v>
      </c>
      <c r="L35" s="7">
        <f>IF(L13&gt;='Phase I - Summary'!$D$23,'Phase I - CF Commercial'!I51-SUM('Phase I - CF Commercial'!I56:I57),0)</f>
        <v>3190928.38015529</v>
      </c>
      <c r="M35" s="7">
        <f>IF(M13&gt;='Phase I - Summary'!$D$23,'Phase I - CF Commercial'!J51-SUM('Phase I - CF Commercial'!J56:J57),0)</f>
        <v>3259746.3484708578</v>
      </c>
      <c r="N35" s="7">
        <f>IF(N13&gt;='Phase I - Summary'!$D$23,'Phase I - CF Commercial'!K51-SUM('Phase I - CF Commercial'!K56:K57),0)</f>
        <v>3330090.6581741115</v>
      </c>
      <c r="O35" s="7">
        <f>IF(O13&gt;='Phase I - Summary'!$D$23,'Phase I - CF Commercial'!L51-SUM('Phase I - CF Commercial'!L56:L57),0)</f>
        <v>3401996.3355534459</v>
      </c>
      <c r="P35" s="7">
        <f>IF(P13&gt;='Phase I - Summary'!$D$23,'Phase I - CF Commercial'!M51-SUM('Phase I - CF Commercial'!M56:M57),0)</f>
        <v>3475499.2424068418</v>
      </c>
      <c r="Q35" s="7">
        <f>IF(Q13&gt;='Phase I - Summary'!$D$23,'Phase I - CF Commercial'!N51-SUM('Phase I - CF Commercial'!N56:N57),0)</f>
        <v>3550636.0968015757</v>
      </c>
      <c r="R35" s="7">
        <f>IF(R13&gt;='Phase I - Summary'!$D$23,'Phase I - CF Commercial'!O51-SUM('Phase I - CF Commercial'!O56:O57),0)</f>
        <v>3627444.4943706011</v>
      </c>
      <c r="S35" s="7">
        <f>IF(S13&gt;='Phase I - Summary'!$D$23,'Phase I - CF Commercial'!P51-SUM('Phase I - CF Commercial'!P56:P57),0)</f>
        <v>3705962.9301599981</v>
      </c>
      <c r="T35" s="7">
        <f>IF(T13&gt;='Phase I - Summary'!$D$23,'Phase I - CF Commercial'!Q51-SUM('Phase I - CF Commercial'!Q56:Q57),0)</f>
        <v>3786230.8210422425</v>
      </c>
      <c r="U35" s="7">
        <f>IF(U13&gt;='Phase I - Summary'!$D$23,'Phase I - CF Commercial'!R51-SUM('Phase I - CF Commercial'!R56:R57),0)</f>
        <v>3868288.5287105022</v>
      </c>
      <c r="V35" s="7">
        <f>IF(V13&gt;='Phase I - Summary'!$D$23,'Phase I - CF Commercial'!S51-SUM('Phase I - CF Commercial'!S56:S57),0)</f>
        <v>3952177.3832695503</v>
      </c>
      <c r="W35" s="7">
        <f>IF(W13&gt;='Phase I - Summary'!$D$23,'Phase I - CF Commercial'!T51-SUM('Phase I - CF Commercial'!T56:T57),0)</f>
        <v>4037939.7074393248</v>
      </c>
      <c r="X35" s="7">
        <f>IF(X13&gt;='Phase I - Summary'!$D$23,'Phase I - CF Commercial'!U51-SUM('Phase I - CF Commercial'!U56:U57),0)</f>
        <v>4125618.8413876253</v>
      </c>
      <c r="Y35" s="7">
        <f>IF(Y13&gt;='Phase I - Summary'!$D$23,'Phase I - CF Commercial'!V51-SUM('Phase I - CF Commercial'!V56:V57),0)</f>
        <v>4215259.1682088785</v>
      </c>
      <c r="Z35" s="7">
        <f>IF(Z13&gt;='Phase I - Summary'!$D$23,'Phase I - CF Commercial'!W51-SUM('Phase I - CF Commercial'!W56:W57),0)</f>
        <v>4306906.1400663601</v>
      </c>
      <c r="AA35" s="7">
        <f>IF(AA13&gt;='Phase I - Summary'!$D$23,'Phase I - CF Commercial'!X51-SUM('Phase I - CF Commercial'!X56:X57),0)</f>
        <v>4400606.3050157912</v>
      </c>
      <c r="AB35" s="7">
        <f>IF(AB13&gt;='Phase I - Summary'!$D$23,'Phase I - CF Commercial'!Y51-SUM('Phase I - CF Commercial'!Y56:Y57),0)</f>
        <v>4496407.3345286557</v>
      </c>
      <c r="AC35" s="7">
        <f>IF(AC13&gt;='Phase I - Summary'!$D$23,'Phase I - CF Commercial'!Z51-SUM('Phase I - CF Commercial'!Z56:Z57),0)</f>
        <v>4594358.0517341513</v>
      </c>
      <c r="AD35" s="7">
        <f>IF(AD13&gt;='Phase I - Summary'!$D$23,'Phase I - CF Commercial'!AA51-SUM('Phase I - CF Commercial'!AA56:AA57),0)</f>
        <v>4694508.4603992067</v>
      </c>
      <c r="AE35" s="7">
        <f>IF(AE13&gt;='Phase I - Summary'!$D$23,'Phase I - CF Commercial'!AB51-SUM('Phase I - CF Commercial'!AB56:AB57),0)</f>
        <v>4796909.7746664733</v>
      </c>
      <c r="AF35" s="7">
        <f>IF(AF13&gt;='Phase I - Summary'!$D$23,'Phase I - CF Commercial'!AC51-SUM('Phase I - CF Commercial'!AC56:AC57),0)</f>
        <v>4901614.4495708635</v>
      </c>
      <c r="AG35" s="7">
        <f>IF(AG13&gt;='Phase I - Summary'!$D$23,'Phase I - CF Commercial'!AD51-SUM('Phase I - CF Commercial'!AD56:AD57),0)</f>
        <v>5008676.2123556733</v>
      </c>
      <c r="AH35" s="7">
        <f>IF(AH13&gt;='Phase I - Summary'!$D$23,'Phase I - CF Commercial'!AE51-SUM('Phase I - CF Commercial'!AE56:AE57),0)</f>
        <v>5118150.0946099814</v>
      </c>
      <c r="AI35" s="7">
        <f>IF(AI13&gt;='Phase I - Summary'!$D$23,'Phase I - CF Commercial'!AF51-SUM('Phase I - CF Commercial'!AF56:AF57),0)</f>
        <v>5230092.4652495915</v>
      </c>
      <c r="AJ35" s="7">
        <f>IF(AJ13&gt;='Phase I - Summary'!$D$23,'Phase I - CF Commercial'!AG51-SUM('Phase I - CF Commercial'!AG56:AG57),0)</f>
        <v>5344561.0643644165</v>
      </c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81"/>
      <c r="EH35" s="181"/>
    </row>
    <row r="36" spans="1:138">
      <c r="B36" t="str">
        <f>B28</f>
        <v>Hotel</v>
      </c>
      <c r="F36" s="7">
        <f>IF(F13&gt;='Phase I - Summary'!$D$23,SUM('Phase I - CF Hotel'!C47,'Phase I - CF Hotel'!C56),0)</f>
        <v>0</v>
      </c>
      <c r="G36" s="7">
        <f>IF(G13&gt;='Phase I - Summary'!$D$23,SUM('Phase I - CF Hotel'!D47,'Phase I - CF Hotel'!D56),0)</f>
        <v>0</v>
      </c>
      <c r="H36" s="7">
        <f>IF(H13&gt;='Phase I - Summary'!$D$23,SUM('Phase I - CF Hotel'!E47,'Phase I - CF Hotel'!E56),0)</f>
        <v>0</v>
      </c>
      <c r="I36" s="7">
        <f>IF(I13&gt;='Phase I - Summary'!$D$23,SUM('Phase I - CF Hotel'!F47,'Phase I - CF Hotel'!F56),0)</f>
        <v>0</v>
      </c>
      <c r="J36" s="7">
        <f>IF(J13&gt;='Phase I - Summary'!$D$23,SUM('Phase I - CF Hotel'!G47,'Phase I - CF Hotel'!G56),0)</f>
        <v>0</v>
      </c>
      <c r="K36" s="7">
        <f>IF(K13&gt;='Phase I - Summary'!$D$23,SUM('Phase I - CF Hotel'!H47,'Phase I - CF Hotel'!H56),0)</f>
        <v>0</v>
      </c>
      <c r="L36" s="7">
        <f>IF(L13&gt;='Phase I - Summary'!$D$23,SUM('Phase I - CF Hotel'!I47,'Phase I - CF Hotel'!I56),0)</f>
        <v>0</v>
      </c>
      <c r="M36" s="7">
        <f>IF(M13&gt;='Phase I - Summary'!$D$23,SUM('Phase I - CF Hotel'!J47,'Phase I - CF Hotel'!J56),0)</f>
        <v>0</v>
      </c>
      <c r="N36" s="7">
        <f>IF(N13&gt;='Phase I - Summary'!$D$23,SUM('Phase I - CF Hotel'!K47,'Phase I - CF Hotel'!K56),0)</f>
        <v>0</v>
      </c>
      <c r="O36" s="7">
        <f>IF(O13&gt;='Phase I - Summary'!$D$23,SUM('Phase I - CF Hotel'!L47,'Phase I - CF Hotel'!L56),0)</f>
        <v>0</v>
      </c>
      <c r="P36" s="7">
        <f>IF(P13&gt;='Phase I - Summary'!$D$23,SUM('Phase I - CF Hotel'!M47,'Phase I - CF Hotel'!M56),0)</f>
        <v>0</v>
      </c>
      <c r="Q36" s="7">
        <f>IF(Q13&gt;='Phase I - Summary'!$D$23,SUM('Phase I - CF Hotel'!N47,'Phase I - CF Hotel'!N56),0)</f>
        <v>0</v>
      </c>
      <c r="R36" s="7">
        <f>IF(R13&gt;='Phase I - Summary'!$D$23,SUM('Phase I - CF Hotel'!O47,'Phase I - CF Hotel'!O56),0)</f>
        <v>0</v>
      </c>
      <c r="S36" s="7">
        <f>IF(S13&gt;='Phase I - Summary'!$D$23,SUM('Phase I - CF Hotel'!P47,'Phase I - CF Hotel'!P56),0)</f>
        <v>0</v>
      </c>
      <c r="T36" s="7">
        <f>IF(T13&gt;='Phase I - Summary'!$D$23,SUM('Phase I - CF Hotel'!Q47,'Phase I - CF Hotel'!Q56),0)</f>
        <v>0</v>
      </c>
      <c r="U36" s="7">
        <f>IF(U13&gt;='Phase I - Summary'!$D$23,SUM('Phase I - CF Hotel'!R47,'Phase I - CF Hotel'!R56),0)</f>
        <v>0</v>
      </c>
      <c r="V36" s="7">
        <f>IF(V13&gt;='Phase I - Summary'!$D$23,SUM('Phase I - CF Hotel'!S47,'Phase I - CF Hotel'!S56),0)</f>
        <v>0</v>
      </c>
      <c r="W36" s="7">
        <f>IF(W13&gt;='Phase I - Summary'!$D$23,SUM('Phase I - CF Hotel'!T47,'Phase I - CF Hotel'!T56),0)</f>
        <v>0</v>
      </c>
      <c r="X36" s="7">
        <f>IF(X13&gt;='Phase I - Summary'!$D$23,SUM('Phase I - CF Hotel'!U47,'Phase I - CF Hotel'!U56),0)</f>
        <v>0</v>
      </c>
      <c r="Y36" s="7">
        <f>IF(Y13&gt;='Phase I - Summary'!$D$23,SUM('Phase I - CF Hotel'!V47,'Phase I - CF Hotel'!V56),0)</f>
        <v>0</v>
      </c>
      <c r="Z36" s="7">
        <f>IF(Z13&gt;='Phase I - Summary'!$D$23,SUM('Phase I - CF Hotel'!W47,'Phase I - CF Hotel'!W56),0)</f>
        <v>0</v>
      </c>
      <c r="AA36" s="7">
        <f>IF(AA13&gt;='Phase I - Summary'!$D$23,SUM('Phase I - CF Hotel'!X47,'Phase I - CF Hotel'!X56),0)</f>
        <v>0</v>
      </c>
      <c r="AB36" s="7">
        <f>IF(AB13&gt;='Phase I - Summary'!$D$23,SUM('Phase I - CF Hotel'!Y47,'Phase I - CF Hotel'!Y56),0)</f>
        <v>0</v>
      </c>
      <c r="AC36" s="7">
        <f>IF(AC13&gt;='Phase I - Summary'!$D$23,SUM('Phase I - CF Hotel'!Z47,'Phase I - CF Hotel'!Z56),0)</f>
        <v>0</v>
      </c>
      <c r="AD36" s="7">
        <f>IF(AD13&gt;='Phase I - Summary'!$D$23,SUM('Phase I - CF Hotel'!AA47,'Phase I - CF Hotel'!AA56),0)</f>
        <v>0</v>
      </c>
      <c r="AE36" s="7">
        <f>IF(AE13&gt;='Phase I - Summary'!$D$23,SUM('Phase I - CF Hotel'!AB47,'Phase I - CF Hotel'!AB56),0)</f>
        <v>0</v>
      </c>
      <c r="AF36" s="7">
        <f>IF(AF13&gt;='Phase I - Summary'!$D$23,SUM('Phase I - CF Hotel'!AC47,'Phase I - CF Hotel'!AC56),0)</f>
        <v>0</v>
      </c>
      <c r="AG36" s="7">
        <f>IF(AG13&gt;='Phase I - Summary'!$D$23,SUM('Phase I - CF Hotel'!AD47,'Phase I - CF Hotel'!AD56),0)</f>
        <v>0</v>
      </c>
      <c r="AH36" s="7">
        <f>IF(AH13&gt;='Phase I - Summary'!$D$23,SUM('Phase I - CF Hotel'!AE47,'Phase I - CF Hotel'!AE56),0)</f>
        <v>0</v>
      </c>
      <c r="AI36" s="7">
        <f>IF(AI13&gt;='Phase I - Summary'!$D$23,SUM('Phase I - CF Hotel'!AF47,'Phase I - CF Hotel'!AF56),0)</f>
        <v>0</v>
      </c>
      <c r="AJ36" s="7">
        <f>IF(AJ13&gt;='Phase I - Summary'!$D$23,SUM('Phase I - CF Hotel'!AG47,'Phase I - CF Hotel'!AG56),0)</f>
        <v>0</v>
      </c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81"/>
      <c r="EH36" s="181"/>
    </row>
    <row r="37" spans="1:138">
      <c r="B37" t="str">
        <f>B29</f>
        <v>Retail</v>
      </c>
      <c r="F37" s="7">
        <f>IF(F13&gt;='Phase I - Summary'!$D$23,'Phase I - CF Retail'!C53-SUM('Phase I - CF Retail'!C58:C59),0)</f>
        <v>0</v>
      </c>
      <c r="G37" s="7">
        <f>IF(G13&gt;='Phase I - Summary'!$D$23,'Phase I - CF Retail'!D53-SUM('Phase I - CF Retail'!D58:D59),0)</f>
        <v>0</v>
      </c>
      <c r="H37" s="7">
        <f>IF(H13&gt;='Phase I - Summary'!$D$23,'Phase I - CF Retail'!E53-SUM('Phase I - CF Retail'!E58:E59),0)</f>
        <v>0</v>
      </c>
      <c r="I37" s="7">
        <f>IF(I13&gt;='Phase I - Summary'!$D$23,'Phase I - CF Retail'!F53-SUM('Phase I - CF Retail'!F58:F59),0)</f>
        <v>0</v>
      </c>
      <c r="J37" s="7">
        <f>IF(J13&gt;='Phase I - Summary'!$D$23,'Phase I - CF Retail'!G53-SUM('Phase I - CF Retail'!G58:G59),0)</f>
        <v>0</v>
      </c>
      <c r="K37" s="7">
        <f>IF(K13&gt;='Phase I - Summary'!$D$23,'Phase I - CF Retail'!H53-SUM('Phase I - CF Retail'!H58:H59),0)</f>
        <v>4304523.3600191874</v>
      </c>
      <c r="L37" s="7">
        <f>IF(L13&gt;='Phase I - Summary'!$D$23,'Phase I - CF Retail'!I53-SUM('Phase I - CF Retail'!I58:I59),0)</f>
        <v>687792.95600400004</v>
      </c>
      <c r="M37" s="7">
        <f>IF(M13&gt;='Phase I - Summary'!$D$23,'Phase I - CF Retail'!J53-SUM('Phase I - CF Retail'!J58:J59),0)</f>
        <v>702440.00885916001</v>
      </c>
      <c r="N37" s="7">
        <f>IF(N13&gt;='Phase I - Summary'!$D$23,'Phase I - CF Retail'!K53-SUM('Phase I - CF Retail'!K58:K59),0)</f>
        <v>717406.73858347558</v>
      </c>
      <c r="O37" s="7">
        <f>IF(O13&gt;='Phase I - Summary'!$D$23,'Phase I - CF Retail'!L53-SUM('Phase I - CF Retail'!L58:L59),0)</f>
        <v>732700.3407886913</v>
      </c>
      <c r="P37" s="7">
        <f>IF(P13&gt;='Phase I - Summary'!$D$23,'Phase I - CF Retail'!M53-SUM('Phase I - CF Retail'!M58:M59),0)</f>
        <v>748328.17906101805</v>
      </c>
      <c r="Q37" s="7">
        <f>IF(Q13&gt;='Phase I - Summary'!$D$23,'Phase I - CF Retail'!N53-SUM('Phase I - CF Retail'!N58:N59),0)</f>
        <v>764297.78904248774</v>
      </c>
      <c r="R37" s="7">
        <f>IF(R13&gt;='Phase I - Summary'!$D$23,'Phase I - CF Retail'!O53-SUM('Phase I - CF Retail'!O58:O59),0)</f>
        <v>780616.88261559419</v>
      </c>
      <c r="S37" s="7">
        <f>IF(S13&gt;='Phase I - Summary'!$D$23,'Phase I - CF Retail'!P53-SUM('Phase I - CF Retail'!P58:P59),0)</f>
        <v>797293.35219393065</v>
      </c>
      <c r="T37" s="7">
        <f>IF(T13&gt;='Phase I - Summary'!$D$23,'Phase I - CF Retail'!Q53-SUM('Phase I - CF Retail'!Q58:Q59),0)</f>
        <v>814335.27512161445</v>
      </c>
      <c r="U37" s="7">
        <f>IF(U13&gt;='Phase I - Summary'!$D$23,'Phase I - CF Retail'!R53-SUM('Phase I - CF Retail'!R58:R59),0)</f>
        <v>831750.91818436631</v>
      </c>
      <c r="V37" s="7">
        <f>IF(V13&gt;='Phase I - Summary'!$D$23,'Phase I - CF Retail'!S53-SUM('Phase I - CF Retail'!S58:S59),0)</f>
        <v>849548.74223518255</v>
      </c>
      <c r="W37" s="7">
        <f>IF(W13&gt;='Phase I - Summary'!$D$23,'Phase I - CF Retail'!T53-SUM('Phase I - CF Retail'!T58:T59),0)</f>
        <v>867737.40693762922</v>
      </c>
      <c r="X37" s="7">
        <f>IF(X13&gt;='Phase I - Summary'!$D$23,'Phase I - CF Retail'!U53-SUM('Phase I - CF Retail'!U58:U59),0)</f>
        <v>886325.77562985686</v>
      </c>
      <c r="Y37" s="7">
        <f>IF(Y13&gt;='Phase I - Summary'!$D$23,'Phase I - CF Retail'!V53-SUM('Phase I - CF Retail'!V58:V59),0)</f>
        <v>905322.92031253339</v>
      </c>
      <c r="Z37" s="7">
        <f>IF(Z13&gt;='Phase I - Summary'!$D$23,'Phase I - CF Retail'!W53-SUM('Phase I - CF Retail'!W58:W59),0)</f>
        <v>924738.1267639657</v>
      </c>
      <c r="AA37" s="7">
        <f>IF(AA13&gt;='Phase I - Summary'!$D$23,'Phase I - CF Retail'!X53-SUM('Phase I - CF Retail'!X58:X59),0)</f>
        <v>944580.89978578244</v>
      </c>
      <c r="AB37" s="7">
        <f>IF(AB13&gt;='Phase I - Summary'!$D$23,'Phase I - CF Retail'!Y53-SUM('Phase I - CF Retail'!Y58:Y59),0)</f>
        <v>964860.96858263155</v>
      </c>
      <c r="AC37" s="7">
        <f>IF(AC13&gt;='Phase I - Summary'!$D$23,'Phase I - CF Retail'!Z53-SUM('Phase I - CF Retail'!Z58:Z59),0)</f>
        <v>985588.29227945139</v>
      </c>
      <c r="AD37" s="7">
        <f>IF(AD13&gt;='Phase I - Summary'!$D$23,'Phase I - CF Retail'!AA53-SUM('Phase I - CF Retail'!AA58:AA59),0)</f>
        <v>1006773.0655799629</v>
      </c>
      <c r="AE37" s="7">
        <f>IF(AE13&gt;='Phase I - Summary'!$D$23,'Phase I - CF Retail'!AB53-SUM('Phase I - CF Retail'!AB58:AB59),0)</f>
        <v>1028425.7245701323</v>
      </c>
      <c r="AF37" s="7">
        <f>IF(AF13&gt;='Phase I - Summary'!$D$23,'Phase I - CF Retail'!AC53-SUM('Phase I - CF Retail'!AC58:AC59),0)</f>
        <v>1050556.952670462</v>
      </c>
      <c r="AG37" s="7">
        <f>IF(AG13&gt;='Phase I - Summary'!$D$23,'Phase I - CF Retail'!AD53-SUM('Phase I - CF Retail'!AD58:AD59),0)</f>
        <v>1073177.6867410664</v>
      </c>
      <c r="AH37" s="7">
        <f>IF(AH13&gt;='Phase I - Summary'!$D$23,'Phase I - CF Retail'!AE53-SUM('Phase I - CF Retail'!AE58:AE59),0)</f>
        <v>1096299.1233435983</v>
      </c>
      <c r="AI37" s="7">
        <f>IF(AI13&gt;='Phase I - Summary'!$D$23,'Phase I - CF Retail'!AF53-SUM('Phase I - CF Retail'!AF58:AF59),0)</f>
        <v>1119932.7251642125</v>
      </c>
      <c r="AJ37" s="7">
        <f>IF(AJ13&gt;='Phase I - Summary'!$D$23,'Phase I - CF Retail'!AG53-SUM('Phase I - CF Retail'!AG58:AG59),0)</f>
        <v>1144090.2276018511</v>
      </c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81"/>
      <c r="EH37" s="181"/>
    </row>
    <row r="38" spans="1:138">
      <c r="B38" s="42" t="s">
        <v>631</v>
      </c>
      <c r="C38" s="42"/>
      <c r="D38" s="42"/>
      <c r="E38" s="42"/>
      <c r="F38" s="22">
        <f t="shared" ref="F38:AJ38" si="22">SUM(F33:F37)</f>
        <v>0</v>
      </c>
      <c r="G38" s="22">
        <f t="shared" si="22"/>
        <v>0</v>
      </c>
      <c r="H38" s="22">
        <f t="shared" si="22"/>
        <v>0</v>
      </c>
      <c r="I38" s="22">
        <f t="shared" si="22"/>
        <v>0</v>
      </c>
      <c r="J38" s="22">
        <f t="shared" si="22"/>
        <v>0</v>
      </c>
      <c r="K38" s="22">
        <f t="shared" ca="1" si="22"/>
        <v>41189730.015596688</v>
      </c>
      <c r="L38" s="22">
        <f t="shared" ca="1" si="22"/>
        <v>7149975.3134072907</v>
      </c>
      <c r="M38" s="22">
        <f t="shared" ca="1" si="22"/>
        <v>7391942.7241179561</v>
      </c>
      <c r="N38" s="22">
        <f t="shared" ca="1" si="22"/>
        <v>7643538.0342964763</v>
      </c>
      <c r="O38" s="22">
        <f t="shared" ca="1" si="22"/>
        <v>7905188.8496115273</v>
      </c>
      <c r="P38" s="22">
        <f t="shared" ca="1" si="22"/>
        <v>8177342.9763458893</v>
      </c>
      <c r="Q38" s="22">
        <f t="shared" ca="1" si="22"/>
        <v>8460469.4063717257</v>
      </c>
      <c r="R38" s="22">
        <f t="shared" ca="1" si="22"/>
        <v>8755059.3509239629</v>
      </c>
      <c r="S38" s="22">
        <f t="shared" ca="1" si="22"/>
        <v>9061627.325609399</v>
      </c>
      <c r="T38" s="22">
        <f t="shared" ca="1" si="22"/>
        <v>9380712.2892114148</v>
      </c>
      <c r="U38" s="22">
        <f t="shared" ca="1" si="22"/>
        <v>9712878.8389787413</v>
      </c>
      <c r="V38" s="22">
        <f t="shared" ca="1" si="22"/>
        <v>10058718.465221575</v>
      </c>
      <c r="W38" s="22">
        <f t="shared" ca="1" si="22"/>
        <v>10418850.868180072</v>
      </c>
      <c r="X38" s="22">
        <f t="shared" ca="1" si="22"/>
        <v>10793925.340279186</v>
      </c>
      <c r="Y38" s="22">
        <f t="shared" ca="1" si="22"/>
        <v>11184622.217040027</v>
      </c>
      <c r="Z38" s="22">
        <f t="shared" ca="1" si="22"/>
        <v>11591654.400082286</v>
      </c>
      <c r="AA38" s="22">
        <f t="shared" ca="1" si="22"/>
        <v>12015768.955824617</v>
      </c>
      <c r="AB38" s="22">
        <f t="shared" ca="1" si="22"/>
        <v>12457748.793671118</v>
      </c>
      <c r="AC38" s="22">
        <f t="shared" ca="1" si="22"/>
        <v>12918414.427662291</v>
      </c>
      <c r="AD38" s="22">
        <f t="shared" ca="1" si="22"/>
        <v>13398625.82576881</v>
      </c>
      <c r="AE38" s="22">
        <f t="shared" ca="1" si="22"/>
        <v>13899284.351216156</v>
      </c>
      <c r="AF38" s="22">
        <f t="shared" ca="1" si="22"/>
        <v>14421334.800448932</v>
      </c>
      <c r="AG38" s="22">
        <f t="shared" ca="1" si="22"/>
        <v>14965767.542575095</v>
      </c>
      <c r="AH38" s="22">
        <f t="shared" ca="1" si="22"/>
        <v>15533620.765373621</v>
      </c>
      <c r="AI38" s="22">
        <f t="shared" ca="1" si="22"/>
        <v>16125982.833204716</v>
      </c>
      <c r="AJ38" s="22">
        <f t="shared" ca="1" si="22"/>
        <v>16743994.762429992</v>
      </c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81"/>
      <c r="EH38" s="181"/>
    </row>
    <row r="39" spans="1:138">
      <c r="B39" s="23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81"/>
      <c r="EH39" s="181"/>
    </row>
    <row r="40" spans="1:138" ht="14.4">
      <c r="B40" s="24" t="s">
        <v>629</v>
      </c>
      <c r="F40" s="7">
        <f>SUM(F25:F29)-SUM(F33:F37)</f>
        <v>0</v>
      </c>
      <c r="G40" s="7">
        <f t="shared" ref="G40:R40" si="23">SUM(G25:G29)-SUM(G33:G37)</f>
        <v>0</v>
      </c>
      <c r="H40" s="7">
        <f t="shared" si="23"/>
        <v>0</v>
      </c>
      <c r="I40" s="7">
        <f t="shared" si="23"/>
        <v>0</v>
      </c>
      <c r="J40" s="7">
        <f t="shared" si="23"/>
        <v>0</v>
      </c>
      <c r="K40" s="7">
        <f t="shared" ca="1" si="23"/>
        <v>-20110453.109162085</v>
      </c>
      <c r="L40" s="7">
        <f t="shared" ca="1" si="23"/>
        <v>19394798.637220353</v>
      </c>
      <c r="M40" s="7">
        <f t="shared" ca="1" si="23"/>
        <v>19940182.977748509</v>
      </c>
      <c r="N40" s="7">
        <f t="shared" ca="1" si="23"/>
        <v>20499380.142000385</v>
      </c>
      <c r="O40" s="7">
        <f t="shared" ca="1" si="23"/>
        <v>21072662.149416123</v>
      </c>
      <c r="P40" s="7">
        <f t="shared" ca="1" si="23"/>
        <v>21660301.73564332</v>
      </c>
      <c r="Q40" s="7">
        <f t="shared" ca="1" si="23"/>
        <v>22262571.993627697</v>
      </c>
      <c r="R40" s="7">
        <f t="shared" ca="1" si="23"/>
        <v>22879745.984658998</v>
      </c>
      <c r="S40" s="7">
        <f t="shared" ref="S40:AD40" ca="1" si="24">SUM(S25:S29)-SUM(S33:S37)</f>
        <v>23512096.31749627</v>
      </c>
      <c r="T40" s="7">
        <f t="shared" ca="1" si="24"/>
        <v>24159894.693591751</v>
      </c>
      <c r="U40" s="7">
        <f t="shared" ca="1" si="24"/>
        <v>24823411.416320931</v>
      </c>
      <c r="V40" s="7">
        <f t="shared" ca="1" si="24"/>
        <v>25502914.862009749</v>
      </c>
      <c r="W40" s="7">
        <f t="shared" ca="1" si="24"/>
        <v>26198670.910426304</v>
      </c>
      <c r="X40" s="7">
        <f t="shared" ca="1" si="24"/>
        <v>26910942.33227466</v>
      </c>
      <c r="Y40" s="7">
        <f t="shared" ca="1" si="24"/>
        <v>27639988.131091498</v>
      </c>
      <c r="Z40" s="7">
        <f t="shared" ca="1" si="24"/>
        <v>28386062.83680227</v>
      </c>
      <c r="AA40" s="7">
        <f t="shared" ca="1" si="24"/>
        <v>29149415.74804173</v>
      </c>
      <c r="AB40" s="7">
        <f t="shared" ca="1" si="24"/>
        <v>29930290.120183997</v>
      </c>
      <c r="AC40" s="7">
        <f t="shared" ca="1" si="24"/>
        <v>30728922.295858696</v>
      </c>
      <c r="AD40" s="7">
        <f t="shared" ca="1" si="24"/>
        <v>31545540.774553042</v>
      </c>
      <c r="AE40" s="7">
        <f t="shared" ref="AE40:AJ40" ca="1" si="25">SUM(AE25:AE29)-SUM(AE33:AE37)</f>
        <v>32380365.217712488</v>
      </c>
      <c r="AF40" s="7">
        <f t="shared" ca="1" si="25"/>
        <v>33233605.385556638</v>
      </c>
      <c r="AG40" s="7">
        <f t="shared" ca="1" si="25"/>
        <v>34105460.001619905</v>
      </c>
      <c r="AH40" s="7">
        <f t="shared" ca="1" si="25"/>
        <v>34996115.540808678</v>
      </c>
      <c r="AI40" s="7">
        <f t="shared" ca="1" si="25"/>
        <v>35905744.93653772</v>
      </c>
      <c r="AJ40" s="7">
        <f t="shared" ca="1" si="25"/>
        <v>36834506.202266887</v>
      </c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81"/>
      <c r="EH40" s="181"/>
    </row>
    <row r="41" spans="1:138" ht="14.4">
      <c r="C41" s="10"/>
      <c r="D41" s="10"/>
      <c r="E41" s="10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  <c r="EC41" s="190"/>
      <c r="ED41" s="190"/>
      <c r="EE41" s="190"/>
      <c r="EF41" s="190"/>
      <c r="EG41" s="190"/>
      <c r="EH41" s="190"/>
    </row>
    <row r="42" spans="1:138">
      <c r="B42" s="1" t="s">
        <v>633</v>
      </c>
      <c r="F42" s="7" t="b">
        <f>IF(F13&gt;='Phase I - Summary'!$D$23,'Phase I - Pro Forma'!G40/'Phase I - Summary'!$D$29)</f>
        <v>0</v>
      </c>
      <c r="G42" s="7" t="b">
        <f>IF(G13&gt;='Phase I - Summary'!$D$23,'Phase I - Pro Forma'!H40/'Phase I - Summary'!$D$29)</f>
        <v>0</v>
      </c>
      <c r="H42" s="7" t="b">
        <f>IF(H13&gt;='Phase I - Summary'!$D$23,'Phase I - Pro Forma'!I40/'Phase I - Summary'!$D$29)</f>
        <v>0</v>
      </c>
      <c r="I42" s="7" t="b">
        <f>IF(I13&gt;='Phase I - Summary'!$D$23,'Phase I - Pro Forma'!J40/'Phase I - Summary'!$D$29)</f>
        <v>0</v>
      </c>
      <c r="J42" s="7" t="b">
        <f>IF(J13&gt;='Phase I - Summary'!$D$23,'Phase I - Pro Forma'!K40/'Phase I - Summary'!$D$29)</f>
        <v>0</v>
      </c>
      <c r="K42" s="7">
        <f ca="1">IF(K13&gt;='Phase I - Summary'!$D$23,'Phase I - Pro Forma'!L40/'Phase I - Summary'!$D$29)</f>
        <v>346335689.95036346</v>
      </c>
      <c r="L42" s="7">
        <f ca="1">IF(L13&gt;='Phase I - Summary'!$D$23,'Phase I - Pro Forma'!M40/'Phase I - Summary'!$D$29)</f>
        <v>356074696.03122336</v>
      </c>
      <c r="M42" s="7">
        <f ca="1">IF(M13&gt;='Phase I - Summary'!$D$23,'Phase I - Pro Forma'!N40/'Phase I - Summary'!$D$29)</f>
        <v>366060359.67857832</v>
      </c>
      <c r="N42" s="7">
        <f ca="1">IF(N13&gt;='Phase I - Summary'!$D$23,'Phase I - Pro Forma'!O40/'Phase I - Summary'!$D$29)</f>
        <v>376297538.38243073</v>
      </c>
      <c r="O42" s="7">
        <f ca="1">IF(O13&gt;='Phase I - Summary'!$D$23,'Phase I - Pro Forma'!P40/'Phase I - Summary'!$D$29)</f>
        <v>386791102.42220211</v>
      </c>
      <c r="P42" s="7">
        <f ca="1">IF(P13&gt;='Phase I - Summary'!$D$23,'Phase I - Pro Forma'!Q40/'Phase I - Summary'!$D$29)</f>
        <v>397545928.45763743</v>
      </c>
      <c r="Q42" s="7">
        <f ca="1">IF(Q13&gt;='Phase I - Summary'!$D$23,'Phase I - Pro Forma'!R40/'Phase I - Summary'!$D$29)</f>
        <v>408566892.5831964</v>
      </c>
      <c r="R42" s="7">
        <f ca="1">IF(R13&gt;='Phase I - Summary'!$D$23,'Phase I - Pro Forma'!S40/'Phase I - Summary'!$D$29)</f>
        <v>419858862.81243336</v>
      </c>
      <c r="S42" s="7">
        <f ca="1">IF(S13&gt;='Phase I - Summary'!$D$23,'Phase I - Pro Forma'!T40/'Phase I - Summary'!$D$29)</f>
        <v>431426690.95699555</v>
      </c>
      <c r="T42" s="7">
        <f ca="1">IF(T13&gt;='Phase I - Summary'!$D$23,'Phase I - Pro Forma'!U40/'Phase I - Summary'!$D$29)</f>
        <v>443275203.86287373</v>
      </c>
      <c r="U42" s="7">
        <f ca="1">IF(U13&gt;='Phase I - Summary'!$D$23,'Phase I - Pro Forma'!V40/'Phase I - Summary'!$D$29)</f>
        <v>455409193.96445978</v>
      </c>
      <c r="V42" s="7">
        <f ca="1">IF(V13&gt;='Phase I - Summary'!$D$23,'Phase I - Pro Forma'!W40/'Phase I - Summary'!$D$29)</f>
        <v>467833409.11475539</v>
      </c>
      <c r="W42" s="7">
        <f ca="1">IF(W13&gt;='Phase I - Summary'!$D$23,'Phase I - Pro Forma'!X40/'Phase I - Summary'!$D$29)</f>
        <v>480552541.64776176</v>
      </c>
      <c r="X42" s="7">
        <f ca="1">IF(X13&gt;='Phase I - Summary'!$D$23,'Phase I - Pro Forma'!Y40/'Phase I - Summary'!$D$29)</f>
        <v>493571216.62663388</v>
      </c>
      <c r="Y42" s="7">
        <f ca="1">IF(Y13&gt;='Phase I - Summary'!$D$23,'Phase I - Pro Forma'!Z40/'Phase I - Summary'!$D$29)</f>
        <v>506893979.22861195</v>
      </c>
      <c r="Z42" s="7">
        <f ca="1">IF(Z13&gt;='Phase I - Summary'!$D$23,'Phase I - Pro Forma'!AA40/'Phase I - Summary'!$D$29)</f>
        <v>520525281.21503091</v>
      </c>
      <c r="AA42" s="7">
        <f ca="1">IF(AA13&gt;='Phase I - Summary'!$D$23,'Phase I - Pro Forma'!AB40/'Phase I - Summary'!$D$29)</f>
        <v>534469466.43185705</v>
      </c>
      <c r="AB42" s="7">
        <f ca="1">IF(AB13&gt;='Phase I - Summary'!$D$23,'Phase I - Pro Forma'!AC40/'Phase I - Summary'!$D$29)</f>
        <v>548730755.28319097</v>
      </c>
      <c r="AC42" s="7">
        <f ca="1">IF(AC13&gt;='Phase I - Summary'!$D$23,'Phase I - Pro Forma'!AD40/'Phase I - Summary'!$D$29)</f>
        <v>563313228.11701858</v>
      </c>
      <c r="AD42" s="7">
        <f ca="1">IF(AD13&gt;='Phase I - Summary'!$D$23,'Phase I - Pro Forma'!AE40/'Phase I - Summary'!$D$29)</f>
        <v>578220807.45915151</v>
      </c>
      <c r="AE42" s="7">
        <f ca="1">IF(AE13&gt;='Phase I - Summary'!$D$23,'Phase I - Pro Forma'!AF40/'Phase I - Summary'!$D$29)</f>
        <v>593457239.0277971</v>
      </c>
      <c r="AF42" s="7">
        <f ca="1">IF(AF13&gt;='Phase I - Summary'!$D$23,'Phase I - Pro Forma'!AG40/'Phase I - Summary'!$D$29)</f>
        <v>609026071.45749831</v>
      </c>
      <c r="AG42" s="7">
        <f ca="1">IF(AG13&gt;='Phase I - Summary'!$D$23,'Phase I - Pro Forma'!AH40/'Phase I - Summary'!$D$29)</f>
        <v>624930634.65729785</v>
      </c>
      <c r="AH42" s="7">
        <f ca="1">IF(AH13&gt;='Phase I - Summary'!$D$23,'Phase I - Pro Forma'!AI40/'Phase I - Summary'!$D$29)</f>
        <v>641174016.7238878</v>
      </c>
      <c r="AI42" s="7">
        <f ca="1">IF(AI13&gt;='Phase I - Summary'!$D$23,'Phase I - Pro Forma'!AJ40/'Phase I - Summary'!$D$29)</f>
        <v>657759039.32619441</v>
      </c>
      <c r="AJ42" s="7">
        <f>IF(AJ13&gt;='Phase I - Summary'!$D$23,'Phase I - Pro Forma'!AK40/'Phase I - Summary'!$D$29)</f>
        <v>0</v>
      </c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</row>
    <row r="43" spans="1:138">
      <c r="B43" t="s">
        <v>405</v>
      </c>
      <c r="F43" s="7">
        <f>-F42*'Phase I - Summary'!$D$30</f>
        <v>0</v>
      </c>
      <c r="G43" s="7">
        <f>-G42*'Phase I - Summary'!$D$30</f>
        <v>0</v>
      </c>
      <c r="H43" s="7">
        <f>-H42*'Phase I - Summary'!$D$30</f>
        <v>0</v>
      </c>
      <c r="I43" s="7">
        <f>-I42*'Phase I - Summary'!$D$30</f>
        <v>0</v>
      </c>
      <c r="J43" s="7">
        <f>-J42*'Phase I - Summary'!$D$30</f>
        <v>0</v>
      </c>
      <c r="K43" s="7">
        <f ca="1">-K42*'Phase I - Summary'!$D$30</f>
        <v>-3463356.8995036348</v>
      </c>
      <c r="L43" s="7">
        <f ca="1">-L42*'Phase I - Summary'!$D$30</f>
        <v>-3560746.9603122338</v>
      </c>
      <c r="M43" s="7">
        <f ca="1">-M42*'Phase I - Summary'!$D$30</f>
        <v>-3660603.5967857833</v>
      </c>
      <c r="N43" s="7">
        <f ca="1">-N42*'Phase I - Summary'!$D$30</f>
        <v>-3762975.3838243075</v>
      </c>
      <c r="O43" s="7">
        <f ca="1">-O42*'Phase I - Summary'!$D$30</f>
        <v>-3867911.024222021</v>
      </c>
      <c r="P43" s="7">
        <f ca="1">-P42*'Phase I - Summary'!$D$30</f>
        <v>-3975459.2845763746</v>
      </c>
      <c r="Q43" s="7">
        <f ca="1">-Q42*'Phase I - Summary'!$D$30</f>
        <v>-4085668.9258319642</v>
      </c>
      <c r="R43" s="7">
        <f ca="1">-R42*'Phase I - Summary'!$D$30</f>
        <v>-4198588.6281243339</v>
      </c>
      <c r="S43" s="7">
        <f ca="1">-S42*'Phase I - Summary'!$D$30</f>
        <v>-4314266.9095699554</v>
      </c>
      <c r="T43" s="7">
        <f ca="1">-T42*'Phase I - Summary'!$D$30</f>
        <v>-4432752.0386287374</v>
      </c>
      <c r="U43" s="7">
        <f ca="1">-U42*'Phase I - Summary'!$D$30</f>
        <v>-4554091.9396445975</v>
      </c>
      <c r="V43" s="7">
        <f ca="1">-V42*'Phase I - Summary'!$D$30</f>
        <v>-4678334.0911475541</v>
      </c>
      <c r="W43" s="7">
        <f ca="1">-W42*'Phase I - Summary'!$D$30</f>
        <v>-4805525.4164776178</v>
      </c>
      <c r="X43" s="7">
        <f ca="1">-X42*'Phase I - Summary'!$D$30</f>
        <v>-4935712.1662663389</v>
      </c>
      <c r="Y43" s="7">
        <f ca="1">-Y42*'Phase I - Summary'!$D$30</f>
        <v>-5068939.7922861194</v>
      </c>
      <c r="Z43" s="7">
        <f ca="1">-Z42*'Phase I - Summary'!$D$30</f>
        <v>-5205252.8121503089</v>
      </c>
      <c r="AA43" s="7">
        <f ca="1">-AA42*'Phase I - Summary'!$D$30</f>
        <v>-5344694.6643185709</v>
      </c>
      <c r="AB43" s="7">
        <f ca="1">-AB42*'Phase I - Summary'!$D$30</f>
        <v>-5487307.5528319096</v>
      </c>
      <c r="AC43" s="7">
        <f ca="1">-AC42*'Phase I - Summary'!$D$30</f>
        <v>-5633132.2811701857</v>
      </c>
      <c r="AD43" s="7">
        <f ca="1">-AD42*'Phase I - Summary'!$D$30</f>
        <v>-5782208.0745915156</v>
      </c>
      <c r="AE43" s="7">
        <f ca="1">-AE42*'Phase I - Summary'!$D$30</f>
        <v>-5934572.3902779715</v>
      </c>
      <c r="AF43" s="7">
        <f ca="1">-AF42*'Phase I - Summary'!$D$30</f>
        <v>-6090260.7145749833</v>
      </c>
      <c r="AG43" s="7">
        <f ca="1">-AG42*'Phase I - Summary'!$D$30</f>
        <v>-6249306.3465729784</v>
      </c>
      <c r="AH43" s="7">
        <f ca="1">-AH42*'Phase I - Summary'!$D$30</f>
        <v>-6411740.1672388781</v>
      </c>
      <c r="AI43" s="7">
        <f ca="1">-AI42*'Phase I - Summary'!$D$30</f>
        <v>-6577590.3932619439</v>
      </c>
      <c r="AJ43" s="7">
        <f>-AJ42*'Phase I - Summary'!$D$30</f>
        <v>0</v>
      </c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81"/>
      <c r="EH43" s="181"/>
    </row>
    <row r="44" spans="1:138">
      <c r="B44" t="s">
        <v>415</v>
      </c>
      <c r="F44" s="22" t="b">
        <f>IF(F13='Phase I - Summary'!$I$45,SUM('Phase I - Pro Forma'!F42:F43,0))</f>
        <v>0</v>
      </c>
      <c r="G44" s="22" t="b">
        <f>IF(G13='Phase I - Summary'!$I$45,SUM('Phase I - Pro Forma'!G42:G43,0))</f>
        <v>0</v>
      </c>
      <c r="H44" s="22" t="b">
        <f>IF(H13='Phase I - Summary'!$I$45,SUM('Phase I - Pro Forma'!H42:H43,0))</f>
        <v>0</v>
      </c>
      <c r="I44" s="22" t="b">
        <f>IF(I13='Phase I - Summary'!$I$45,SUM('Phase I - Pro Forma'!I42:I43,0))</f>
        <v>0</v>
      </c>
      <c r="J44" s="22" t="b">
        <f>IF(J13='Phase I - Summary'!$I$45,SUM('Phase I - Pro Forma'!J42:J43,0))</f>
        <v>0</v>
      </c>
      <c r="K44" s="22" t="b">
        <f>IF(K13='Phase I - Summary'!$I$45,SUM('Phase I - Pro Forma'!K42:K43,0))</f>
        <v>0</v>
      </c>
      <c r="L44" s="22" t="b">
        <f>IF(L13='Phase I - Summary'!$I$45,SUM('Phase I - Pro Forma'!L42:L43,0))</f>
        <v>0</v>
      </c>
      <c r="M44" s="22" t="b">
        <f>IF(M13='Phase I - Summary'!$I$45,SUM('Phase I - Pro Forma'!M42:M43,0))</f>
        <v>0</v>
      </c>
      <c r="N44" s="22" t="b">
        <f>IF(N13='Phase I - Summary'!$I$45,SUM('Phase I - Pro Forma'!N42:N43,0))</f>
        <v>0</v>
      </c>
      <c r="O44" s="22" t="b">
        <f>IF(O13='Phase I - Summary'!$I$45,SUM('Phase I - Pro Forma'!O42:O43,0))</f>
        <v>0</v>
      </c>
      <c r="P44" s="22" t="b">
        <f>IF(P13='Phase I - Summary'!$I$45,SUM('Phase I - Pro Forma'!P42:P43,0))</f>
        <v>0</v>
      </c>
      <c r="Q44" s="22">
        <f ca="1">IF(Q13='Phase I - Summary'!$I$45,SUM('Phase I - Pro Forma'!Q42:Q43,0))</f>
        <v>404481223.65736443</v>
      </c>
      <c r="R44" s="22" t="b">
        <f>IF(R13='Phase I - Summary'!$I$45,SUM('Phase I - Pro Forma'!R42:R43,0))</f>
        <v>0</v>
      </c>
      <c r="S44" s="22" t="b">
        <f>IF(S13='Phase I - Summary'!$I$45,SUM('Phase I - Pro Forma'!S42:S43,0))</f>
        <v>0</v>
      </c>
      <c r="T44" s="22" t="b">
        <f>IF(T13='Phase I - Summary'!$I$45,SUM('Phase I - Pro Forma'!T42:T43,0))</f>
        <v>0</v>
      </c>
      <c r="U44" s="22" t="b">
        <f>IF(U13='Phase I - Summary'!$I$45,SUM('Phase I - Pro Forma'!U42:U43,0))</f>
        <v>0</v>
      </c>
      <c r="V44" s="22" t="b">
        <f>IF(V13='Phase I - Summary'!$I$45,SUM('Phase I - Pro Forma'!V42:V43,0))</f>
        <v>0</v>
      </c>
      <c r="W44" s="22" t="b">
        <f>IF(W13='Phase I - Summary'!$I$45,SUM('Phase I - Pro Forma'!W42:W43,0))</f>
        <v>0</v>
      </c>
      <c r="X44" s="22" t="b">
        <f>IF(X13='Phase I - Summary'!$I$45,SUM('Phase I - Pro Forma'!X42:X43,0))</f>
        <v>0</v>
      </c>
      <c r="Y44" s="22" t="b">
        <f>IF(Y13='Phase I - Summary'!$I$45,SUM('Phase I - Pro Forma'!Y42:Y43,0))</f>
        <v>0</v>
      </c>
      <c r="Z44" s="22" t="b">
        <f>IF(Z13='Phase I - Summary'!$I$45,SUM('Phase I - Pro Forma'!Z42:Z43,0))</f>
        <v>0</v>
      </c>
      <c r="AA44" s="22" t="b">
        <f>IF(AA13='Phase I - Summary'!$I$45,SUM('Phase I - Pro Forma'!AA42:AA43,0))</f>
        <v>0</v>
      </c>
      <c r="AB44" s="22" t="b">
        <f>IF(AB13='Phase I - Summary'!$I$45,SUM('Phase I - Pro Forma'!AB42:AB43,0))</f>
        <v>0</v>
      </c>
      <c r="AC44" s="22" t="b">
        <f>IF(AC13='Phase I - Summary'!$I$45,SUM('Phase I - Pro Forma'!AC42:AC43,0))</f>
        <v>0</v>
      </c>
      <c r="AD44" s="22" t="b">
        <f>IF(AD13='Phase I - Summary'!$I$45,SUM('Phase I - Pro Forma'!AD42:AD43,0))</f>
        <v>0</v>
      </c>
      <c r="AE44" s="22" t="b">
        <f>IF(AE13='Phase I - Summary'!$I$45,SUM('Phase I - Pro Forma'!AE42:AE43,0))</f>
        <v>0</v>
      </c>
      <c r="AF44" s="22" t="b">
        <f>IF(AF13='Phase I - Summary'!$I$45,SUM('Phase I - Pro Forma'!AF42:AF43,0))</f>
        <v>0</v>
      </c>
      <c r="AG44" s="22" t="b">
        <f>IF(AG13='Phase I - Summary'!$I$45,SUM('Phase I - Pro Forma'!AG42:AG43,0))</f>
        <v>0</v>
      </c>
      <c r="AH44" s="22" t="b">
        <f>IF(AH13='Phase I - Summary'!$I$45,SUM('Phase I - Pro Forma'!AH42:AH43,0))</f>
        <v>0</v>
      </c>
      <c r="AI44" s="22" t="b">
        <f>IF(AI13='Phase I - Summary'!$I$45,SUM('Phase I - Pro Forma'!AI42:AI43,0))</f>
        <v>0</v>
      </c>
      <c r="AJ44" s="22" t="b">
        <f>IF(AJ13='Phase I - Summary'!$I$45,SUM('Phase I - Pro Forma'!AJ42:AJ43,0))</f>
        <v>0</v>
      </c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81"/>
      <c r="EH44" s="181"/>
    </row>
    <row r="46" spans="1:138">
      <c r="B46" t="s">
        <v>416</v>
      </c>
      <c r="D46" s="7">
        <f ca="1">SUM(F46:AJ46)</f>
        <v>259756862.50051874</v>
      </c>
      <c r="F46" s="7">
        <f ca="1">IF(F13&lt;='Phase I - Summary'!$I$45,F40-F22+F44,0)</f>
        <v>-44629803</v>
      </c>
      <c r="G46" s="7">
        <f ca="1">IF(G13&lt;='Phase I - Summary'!$I$45,G40-G22+G44,0)</f>
        <v>0</v>
      </c>
      <c r="H46" s="7">
        <f ca="1">IF(H13&lt;='Phase I - Summary'!$I$45,H40-H22+H44,0)</f>
        <v>-68271334.227779999</v>
      </c>
      <c r="I46" s="7">
        <f ca="1">IF(I13&lt;='Phase I - Summary'!$I$45,I40-I22+I44,0)</f>
        <v>-68271334.227779999</v>
      </c>
      <c r="J46" s="7">
        <f ca="1">IF(J13&lt;='Phase I - Summary'!$I$45,J40-J22+J44,0)</f>
        <v>-68271334.227779999</v>
      </c>
      <c r="K46" s="7">
        <f ca="1">IF(K13&lt;='Phase I - Summary'!$I$45,K40-K22+K44,0)</f>
        <v>-20110453.109162085</v>
      </c>
      <c r="L46" s="7">
        <f ca="1">IF(L13&lt;='Phase I - Summary'!$I$45,L40-L22+L44,0)</f>
        <v>19394798.637220353</v>
      </c>
      <c r="M46" s="7">
        <f ca="1">IF(M13&lt;='Phase I - Summary'!$I$45,M40-M22+M44,0)</f>
        <v>19940182.977748509</v>
      </c>
      <c r="N46" s="7">
        <f ca="1">IF(N13&lt;='Phase I - Summary'!$I$45,N40-N22+N44,0)</f>
        <v>20499380.142000385</v>
      </c>
      <c r="O46" s="7">
        <f ca="1">IF(O13&lt;='Phase I - Summary'!$I$45,O40-O22+O44,0)</f>
        <v>21072662.149416123</v>
      </c>
      <c r="P46" s="7">
        <f ca="1">IF(P13&lt;='Phase I - Summary'!$I$45,P40-P22+P44,0)</f>
        <v>21660301.73564332</v>
      </c>
      <c r="Q46" s="7">
        <f ca="1">IF(Q13&lt;='Phase I - Summary'!$I$45,Q40-Q22+Q44,0)</f>
        <v>426743795.65099216</v>
      </c>
      <c r="R46" s="7">
        <f>IF(R13&lt;='Phase I - Summary'!$I$45,R40-R22+R44,0)</f>
        <v>0</v>
      </c>
      <c r="S46" s="7">
        <f>IF(S13&lt;='Phase I - Summary'!$I$45,S40-S22+S44,0)</f>
        <v>0</v>
      </c>
      <c r="T46" s="7">
        <f>IF(T13&lt;='Phase I - Summary'!$I$45,T40-T22+T44,0)</f>
        <v>0</v>
      </c>
      <c r="U46" s="7">
        <f>IF(U13&lt;='Phase I - Summary'!$I$45,U40-U22+U44,0)</f>
        <v>0</v>
      </c>
      <c r="V46" s="7">
        <f>IF(V13&lt;='Phase I - Summary'!$I$45,V40-V22+V44,0)</f>
        <v>0</v>
      </c>
      <c r="W46" s="7">
        <f>IF(W13&lt;='Phase I - Summary'!$I$45,W40-W22+W44,0)</f>
        <v>0</v>
      </c>
      <c r="X46" s="7">
        <f>IF(X13&lt;='Phase I - Summary'!$I$45,X40-X22+X44,0)</f>
        <v>0</v>
      </c>
      <c r="Y46" s="7">
        <f>IF(Y13&lt;='Phase I - Summary'!$I$45,Y40-Y22+Y44,0)</f>
        <v>0</v>
      </c>
      <c r="Z46" s="7">
        <f>IF(Z13&lt;='Phase I - Summary'!$I$45,Z40-Z22+Z44,0)</f>
        <v>0</v>
      </c>
      <c r="AA46" s="7">
        <f>IF(AA13&lt;='Phase I - Summary'!$I$45,AA40-AA22+AA44,0)</f>
        <v>0</v>
      </c>
      <c r="AB46" s="7">
        <f>IF(AB13&lt;='Phase I - Summary'!$I$45,AB40-AB22+AB44,0)</f>
        <v>0</v>
      </c>
      <c r="AC46" s="7">
        <f>IF(AC13&lt;='Phase I - Summary'!$I$45,AC40-AC22+AC44,0)</f>
        <v>0</v>
      </c>
      <c r="AD46" s="7">
        <f>IF(AD13&lt;='Phase I - Summary'!$I$45,AD40-AD22+AD44,0)</f>
        <v>0</v>
      </c>
      <c r="AE46" s="7">
        <f>IF(AE13&lt;='Phase I - Summary'!$I$45,AE40-AE22+AE44,0)</f>
        <v>0</v>
      </c>
      <c r="AF46" s="7">
        <f>IF(AF13&lt;='Phase I - Summary'!$I$45,AF40-AF22+AF44,0)</f>
        <v>0</v>
      </c>
      <c r="AG46" s="7">
        <f>IF(AG13&lt;='Phase I - Summary'!$I$45,AG40-AG22+AG44,0)</f>
        <v>0</v>
      </c>
      <c r="AH46" s="7">
        <f>IF(AH13&lt;='Phase I - Summary'!$I$45,AH40-AH22+AH44,0)</f>
        <v>0</v>
      </c>
      <c r="AI46" s="7">
        <f>IF(AI13&lt;='Phase I - Summary'!$I$45,AI40-AI22+AI44,0)</f>
        <v>0</v>
      </c>
      <c r="AJ46" s="7">
        <f>IF(AJ13&lt;='Phase I - Summary'!$I$45,AJ40-AJ22+AJ44,0)</f>
        <v>0</v>
      </c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</row>
    <row r="47" spans="1:138" ht="13.8" thickBot="1"/>
    <row r="48" spans="1:138" ht="14.4">
      <c r="B48" s="468" t="s">
        <v>417</v>
      </c>
      <c r="C48" s="469"/>
      <c r="D48" s="475">
        <f ca="1">IRR(F46:AJ46)</f>
        <v>9.0479913092812003E-2</v>
      </c>
    </row>
    <row r="49" spans="2:138" ht="15" thickBot="1">
      <c r="B49" s="470" t="s">
        <v>418</v>
      </c>
      <c r="C49" s="471"/>
      <c r="D49" s="476">
        <f ca="1">-SUMIF(F46:DV46,"&gt;0")/SUMIF(F46:DV46,"&lt;0")</f>
        <v>1.9636533426113469</v>
      </c>
    </row>
    <row r="50" spans="2:138">
      <c r="D50" s="4"/>
    </row>
    <row r="51" spans="2:138" ht="14.4">
      <c r="B51" s="10" t="s">
        <v>419</v>
      </c>
      <c r="D51" s="18" t="s">
        <v>16</v>
      </c>
    </row>
    <row r="52" spans="2:138">
      <c r="B52" s="32" t="s">
        <v>420</v>
      </c>
      <c r="D52" s="4"/>
      <c r="F52" s="7">
        <f ca="1">'Phase I - Summary'!G23</f>
        <v>54797359.843583971</v>
      </c>
      <c r="G52" s="7">
        <f ca="1">F54</f>
        <v>10167556.843583971</v>
      </c>
      <c r="H52" s="7">
        <f t="shared" ref="H52:R52" ca="1" si="26">G54</f>
        <v>10167556.843583971</v>
      </c>
      <c r="I52" s="7">
        <f t="shared" ca="1" si="26"/>
        <v>0</v>
      </c>
      <c r="J52" s="7">
        <f t="shared" ca="1" si="26"/>
        <v>0</v>
      </c>
      <c r="K52" s="7">
        <f t="shared" ca="1" si="26"/>
        <v>0</v>
      </c>
      <c r="L52" s="7">
        <f t="shared" ca="1" si="26"/>
        <v>0</v>
      </c>
      <c r="M52" s="7">
        <f t="shared" ca="1" si="26"/>
        <v>0</v>
      </c>
      <c r="N52" s="7">
        <f t="shared" ca="1" si="26"/>
        <v>0</v>
      </c>
      <c r="O52" s="7">
        <f t="shared" ca="1" si="26"/>
        <v>0</v>
      </c>
      <c r="P52" s="7">
        <f t="shared" ca="1" si="26"/>
        <v>0</v>
      </c>
      <c r="Q52" s="7">
        <f t="shared" ca="1" si="26"/>
        <v>0</v>
      </c>
      <c r="R52" s="7">
        <f t="shared" ca="1" si="26"/>
        <v>0</v>
      </c>
      <c r="S52" s="7">
        <f t="shared" ref="S52:AD52" ca="1" si="27">R54</f>
        <v>0</v>
      </c>
      <c r="T52" s="7">
        <f t="shared" ca="1" si="27"/>
        <v>0</v>
      </c>
      <c r="U52" s="7">
        <f t="shared" ca="1" si="27"/>
        <v>0</v>
      </c>
      <c r="V52" s="7">
        <f t="shared" ca="1" si="27"/>
        <v>0</v>
      </c>
      <c r="W52" s="7">
        <f t="shared" ca="1" si="27"/>
        <v>0</v>
      </c>
      <c r="X52" s="7">
        <f t="shared" ca="1" si="27"/>
        <v>0</v>
      </c>
      <c r="Y52" s="7">
        <f t="shared" ca="1" si="27"/>
        <v>0</v>
      </c>
      <c r="Z52" s="7">
        <f t="shared" ca="1" si="27"/>
        <v>0</v>
      </c>
      <c r="AA52" s="7">
        <f t="shared" ca="1" si="27"/>
        <v>0</v>
      </c>
      <c r="AB52" s="7">
        <f t="shared" ca="1" si="27"/>
        <v>0</v>
      </c>
      <c r="AC52" s="7">
        <f t="shared" ca="1" si="27"/>
        <v>0</v>
      </c>
      <c r="AD52" s="7">
        <f t="shared" ca="1" si="27"/>
        <v>0</v>
      </c>
      <c r="AE52" s="7">
        <f t="shared" ref="AE52:AJ52" ca="1" si="28">AD54</f>
        <v>0</v>
      </c>
      <c r="AF52" s="7">
        <f t="shared" ca="1" si="28"/>
        <v>0</v>
      </c>
      <c r="AG52" s="7">
        <f t="shared" ca="1" si="28"/>
        <v>0</v>
      </c>
      <c r="AH52" s="7">
        <f t="shared" ca="1" si="28"/>
        <v>0</v>
      </c>
      <c r="AI52" s="7">
        <f t="shared" ca="1" si="28"/>
        <v>0</v>
      </c>
      <c r="AJ52" s="7">
        <f t="shared" ca="1" si="28"/>
        <v>0</v>
      </c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1"/>
      <c r="DX52" s="181"/>
      <c r="DY52" s="181"/>
      <c r="DZ52" s="181"/>
      <c r="EA52" s="181"/>
      <c r="EB52" s="181"/>
      <c r="EC52" s="181"/>
      <c r="ED52" s="181"/>
      <c r="EE52" s="181"/>
      <c r="EF52" s="181"/>
      <c r="EG52" s="181"/>
      <c r="EH52" s="181"/>
    </row>
    <row r="53" spans="2:138">
      <c r="B53" s="32" t="s">
        <v>421</v>
      </c>
      <c r="D53" s="21">
        <f ca="1">SUM(F53:DV53)</f>
        <v>54797359.843583971</v>
      </c>
      <c r="F53" s="7">
        <f t="shared" ref="F53:AJ53" ca="1" si="29">MIN(F52,ABS(F46))</f>
        <v>44629803</v>
      </c>
      <c r="G53" s="7">
        <f t="shared" ca="1" si="29"/>
        <v>0</v>
      </c>
      <c r="H53" s="7">
        <f t="shared" ca="1" si="29"/>
        <v>10167556.843583971</v>
      </c>
      <c r="I53" s="7">
        <f t="shared" ca="1" si="29"/>
        <v>0</v>
      </c>
      <c r="J53" s="7">
        <f t="shared" ca="1" si="29"/>
        <v>0</v>
      </c>
      <c r="K53" s="7">
        <f t="shared" ca="1" si="29"/>
        <v>0</v>
      </c>
      <c r="L53" s="7">
        <f t="shared" ca="1" si="29"/>
        <v>0</v>
      </c>
      <c r="M53" s="7">
        <f t="shared" ca="1" si="29"/>
        <v>0</v>
      </c>
      <c r="N53" s="7">
        <f t="shared" ca="1" si="29"/>
        <v>0</v>
      </c>
      <c r="O53" s="7">
        <f t="shared" ca="1" si="29"/>
        <v>0</v>
      </c>
      <c r="P53" s="7">
        <f t="shared" ca="1" si="29"/>
        <v>0</v>
      </c>
      <c r="Q53" s="7">
        <f t="shared" ca="1" si="29"/>
        <v>0</v>
      </c>
      <c r="R53" s="7">
        <f t="shared" ca="1" si="29"/>
        <v>0</v>
      </c>
      <c r="S53" s="7">
        <f t="shared" ca="1" si="29"/>
        <v>0</v>
      </c>
      <c r="T53" s="7">
        <f t="shared" ca="1" si="29"/>
        <v>0</v>
      </c>
      <c r="U53" s="7">
        <f t="shared" ca="1" si="29"/>
        <v>0</v>
      </c>
      <c r="V53" s="7">
        <f t="shared" ca="1" si="29"/>
        <v>0</v>
      </c>
      <c r="W53" s="7">
        <f t="shared" ca="1" si="29"/>
        <v>0</v>
      </c>
      <c r="X53" s="7">
        <f t="shared" ca="1" si="29"/>
        <v>0</v>
      </c>
      <c r="Y53" s="7">
        <f t="shared" ca="1" si="29"/>
        <v>0</v>
      </c>
      <c r="Z53" s="7">
        <f t="shared" ca="1" si="29"/>
        <v>0</v>
      </c>
      <c r="AA53" s="7">
        <f t="shared" ca="1" si="29"/>
        <v>0</v>
      </c>
      <c r="AB53" s="7">
        <f t="shared" ca="1" si="29"/>
        <v>0</v>
      </c>
      <c r="AC53" s="7">
        <f t="shared" ca="1" si="29"/>
        <v>0</v>
      </c>
      <c r="AD53" s="7">
        <f t="shared" ca="1" si="29"/>
        <v>0</v>
      </c>
      <c r="AE53" s="7">
        <f t="shared" ca="1" si="29"/>
        <v>0</v>
      </c>
      <c r="AF53" s="7">
        <f t="shared" ca="1" si="29"/>
        <v>0</v>
      </c>
      <c r="AG53" s="7">
        <f t="shared" ca="1" si="29"/>
        <v>0</v>
      </c>
      <c r="AH53" s="7">
        <f t="shared" ca="1" si="29"/>
        <v>0</v>
      </c>
      <c r="AI53" s="7">
        <f t="shared" ca="1" si="29"/>
        <v>0</v>
      </c>
      <c r="AJ53" s="7">
        <f t="shared" ca="1" si="29"/>
        <v>0</v>
      </c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1"/>
      <c r="DX53" s="181"/>
      <c r="DY53" s="181"/>
      <c r="DZ53" s="181"/>
      <c r="EA53" s="181"/>
      <c r="EB53" s="181"/>
      <c r="EC53" s="181"/>
      <c r="ED53" s="181"/>
      <c r="EE53" s="181"/>
      <c r="EF53" s="181"/>
      <c r="EG53" s="181"/>
      <c r="EH53" s="181"/>
    </row>
    <row r="54" spans="2:138">
      <c r="B54" s="32" t="s">
        <v>422</v>
      </c>
      <c r="D54" s="4"/>
      <c r="F54" s="7">
        <f ca="1">MAX(F52-F53,0)</f>
        <v>10167556.843583971</v>
      </c>
      <c r="G54" s="7">
        <f t="shared" ref="G54" ca="1" si="30">MAX(G52-G53,0)</f>
        <v>10167556.843583971</v>
      </c>
      <c r="H54" s="7">
        <f t="shared" ref="H54:R54" ca="1" si="31">MAX(H52-H53,0)</f>
        <v>0</v>
      </c>
      <c r="I54" s="7">
        <f t="shared" ca="1" si="31"/>
        <v>0</v>
      </c>
      <c r="J54" s="7">
        <f t="shared" ca="1" si="31"/>
        <v>0</v>
      </c>
      <c r="K54" s="7">
        <f t="shared" ca="1" si="31"/>
        <v>0</v>
      </c>
      <c r="L54" s="7">
        <f t="shared" ca="1" si="31"/>
        <v>0</v>
      </c>
      <c r="M54" s="7">
        <f t="shared" ca="1" si="31"/>
        <v>0</v>
      </c>
      <c r="N54" s="7">
        <f t="shared" ca="1" si="31"/>
        <v>0</v>
      </c>
      <c r="O54" s="7">
        <f t="shared" ca="1" si="31"/>
        <v>0</v>
      </c>
      <c r="P54" s="7">
        <f t="shared" ca="1" si="31"/>
        <v>0</v>
      </c>
      <c r="Q54" s="7">
        <f t="shared" ca="1" si="31"/>
        <v>0</v>
      </c>
      <c r="R54" s="7">
        <f t="shared" ca="1" si="31"/>
        <v>0</v>
      </c>
      <c r="S54" s="7">
        <f t="shared" ref="S54:AD54" ca="1" si="32">MAX(S52-S53,0)</f>
        <v>0</v>
      </c>
      <c r="T54" s="7">
        <f t="shared" ca="1" si="32"/>
        <v>0</v>
      </c>
      <c r="U54" s="7">
        <f t="shared" ca="1" si="32"/>
        <v>0</v>
      </c>
      <c r="V54" s="7">
        <f t="shared" ca="1" si="32"/>
        <v>0</v>
      </c>
      <c r="W54" s="7">
        <f t="shared" ca="1" si="32"/>
        <v>0</v>
      </c>
      <c r="X54" s="7">
        <f t="shared" ca="1" si="32"/>
        <v>0</v>
      </c>
      <c r="Y54" s="7">
        <f t="shared" ca="1" si="32"/>
        <v>0</v>
      </c>
      <c r="Z54" s="7">
        <f t="shared" ca="1" si="32"/>
        <v>0</v>
      </c>
      <c r="AA54" s="7">
        <f t="shared" ca="1" si="32"/>
        <v>0</v>
      </c>
      <c r="AB54" s="7">
        <f t="shared" ca="1" si="32"/>
        <v>0</v>
      </c>
      <c r="AC54" s="7">
        <f t="shared" ca="1" si="32"/>
        <v>0</v>
      </c>
      <c r="AD54" s="7">
        <f t="shared" ca="1" si="32"/>
        <v>0</v>
      </c>
      <c r="AE54" s="7">
        <f t="shared" ref="AE54:AJ54" ca="1" si="33">MAX(AE52-AE53,0)</f>
        <v>0</v>
      </c>
      <c r="AF54" s="7">
        <f t="shared" ca="1" si="33"/>
        <v>0</v>
      </c>
      <c r="AG54" s="7">
        <f t="shared" ca="1" si="33"/>
        <v>0</v>
      </c>
      <c r="AH54" s="7">
        <f t="shared" ca="1" si="33"/>
        <v>0</v>
      </c>
      <c r="AI54" s="7">
        <f t="shared" ca="1" si="33"/>
        <v>0</v>
      </c>
      <c r="AJ54" s="7">
        <f t="shared" ca="1" si="33"/>
        <v>0</v>
      </c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  <c r="CV54" s="181"/>
      <c r="CW54" s="181"/>
      <c r="CX54" s="181"/>
      <c r="CY54" s="181"/>
      <c r="CZ54" s="181"/>
      <c r="DA54" s="181"/>
      <c r="DB54" s="181"/>
      <c r="DC54" s="181"/>
      <c r="DD54" s="181"/>
      <c r="DE54" s="181"/>
      <c r="DF54" s="181"/>
      <c r="DG54" s="181"/>
      <c r="DH54" s="181"/>
      <c r="DI54" s="181"/>
      <c r="DJ54" s="181"/>
      <c r="DK54" s="181"/>
      <c r="DL54" s="181"/>
      <c r="DM54" s="181"/>
      <c r="DN54" s="181"/>
      <c r="DO54" s="181"/>
      <c r="DP54" s="181"/>
      <c r="DQ54" s="181"/>
      <c r="DR54" s="181"/>
      <c r="DS54" s="181"/>
      <c r="DT54" s="181"/>
      <c r="DU54" s="181"/>
      <c r="DV54" s="181"/>
      <c r="DW54" s="181"/>
      <c r="DX54" s="181"/>
      <c r="DY54" s="181"/>
      <c r="DZ54" s="181"/>
      <c r="EA54" s="181"/>
      <c r="EB54" s="181"/>
      <c r="EC54" s="181"/>
      <c r="ED54" s="181"/>
      <c r="EE54" s="181"/>
      <c r="EF54" s="181"/>
      <c r="EG54" s="181"/>
      <c r="EH54" s="181"/>
    </row>
    <row r="55" spans="2:138">
      <c r="D55" s="4"/>
    </row>
    <row r="56" spans="2:138">
      <c r="B56" t="s">
        <v>423</v>
      </c>
      <c r="D56" s="4"/>
      <c r="F56" s="7">
        <f t="shared" ref="F56:AJ56" ca="1" si="34">F40-F22+F44+F53</f>
        <v>0</v>
      </c>
      <c r="G56" s="7">
        <f t="shared" ca="1" si="34"/>
        <v>0</v>
      </c>
      <c r="H56" s="7">
        <f t="shared" ca="1" si="34"/>
        <v>-58103777.384196028</v>
      </c>
      <c r="I56" s="7">
        <f t="shared" ca="1" si="34"/>
        <v>-68271334.227779999</v>
      </c>
      <c r="J56" s="7">
        <f t="shared" ca="1" si="34"/>
        <v>-68271334.227779999</v>
      </c>
      <c r="K56" s="7">
        <f t="shared" ca="1" si="34"/>
        <v>-20110453.109162085</v>
      </c>
      <c r="L56" s="7">
        <f t="shared" ca="1" si="34"/>
        <v>19394798.637220353</v>
      </c>
      <c r="M56" s="7">
        <f t="shared" ca="1" si="34"/>
        <v>19940182.977748509</v>
      </c>
      <c r="N56" s="7">
        <f t="shared" ca="1" si="34"/>
        <v>20499380.142000385</v>
      </c>
      <c r="O56" s="7">
        <f t="shared" ca="1" si="34"/>
        <v>21072662.149416123</v>
      </c>
      <c r="P56" s="7">
        <f t="shared" ca="1" si="34"/>
        <v>21660301.73564332</v>
      </c>
      <c r="Q56" s="7">
        <f t="shared" ca="1" si="34"/>
        <v>426743795.65099216</v>
      </c>
      <c r="R56" s="7">
        <f t="shared" ca="1" si="34"/>
        <v>22879745.984658998</v>
      </c>
      <c r="S56" s="7">
        <f t="shared" ca="1" si="34"/>
        <v>23512096.31749627</v>
      </c>
      <c r="T56" s="7">
        <f t="shared" ca="1" si="34"/>
        <v>24159894.693591751</v>
      </c>
      <c r="U56" s="7">
        <f t="shared" ca="1" si="34"/>
        <v>24823411.416320931</v>
      </c>
      <c r="V56" s="7">
        <f t="shared" ca="1" si="34"/>
        <v>25502914.862009749</v>
      </c>
      <c r="W56" s="7">
        <f t="shared" ca="1" si="34"/>
        <v>26198670.910426304</v>
      </c>
      <c r="X56" s="7">
        <f t="shared" ca="1" si="34"/>
        <v>26910942.33227466</v>
      </c>
      <c r="Y56" s="7">
        <f t="shared" ca="1" si="34"/>
        <v>27639988.131091498</v>
      </c>
      <c r="Z56" s="7">
        <f t="shared" ca="1" si="34"/>
        <v>28386062.83680227</v>
      </c>
      <c r="AA56" s="7">
        <f t="shared" ca="1" si="34"/>
        <v>29149415.74804173</v>
      </c>
      <c r="AB56" s="7">
        <f t="shared" ca="1" si="34"/>
        <v>29930290.120183997</v>
      </c>
      <c r="AC56" s="7">
        <f t="shared" ca="1" si="34"/>
        <v>30728922.295858696</v>
      </c>
      <c r="AD56" s="7">
        <f t="shared" ca="1" si="34"/>
        <v>31545540.774553042</v>
      </c>
      <c r="AE56" s="7">
        <f t="shared" ca="1" si="34"/>
        <v>32380365.217712488</v>
      </c>
      <c r="AF56" s="7">
        <f t="shared" ca="1" si="34"/>
        <v>33233605.385556638</v>
      </c>
      <c r="AG56" s="7">
        <f t="shared" ca="1" si="34"/>
        <v>34105460.001619905</v>
      </c>
      <c r="AH56" s="7">
        <f t="shared" ca="1" si="34"/>
        <v>34996115.540808678</v>
      </c>
      <c r="AI56" s="7">
        <f t="shared" ca="1" si="34"/>
        <v>35905744.93653772</v>
      </c>
      <c r="AJ56" s="7">
        <f t="shared" ca="1" si="34"/>
        <v>36834506.202266887</v>
      </c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  <c r="BS56" s="181"/>
      <c r="BT56" s="181"/>
      <c r="BU56" s="181"/>
      <c r="BV56" s="181"/>
      <c r="BW56" s="181"/>
      <c r="BX56" s="181"/>
      <c r="BY56" s="181"/>
      <c r="BZ56" s="181"/>
      <c r="CA56" s="181"/>
      <c r="CB56" s="181"/>
      <c r="CC56" s="181"/>
      <c r="CD56" s="181"/>
      <c r="CE56" s="181"/>
      <c r="CF56" s="181"/>
      <c r="CG56" s="181"/>
      <c r="CH56" s="181"/>
      <c r="CI56" s="181"/>
      <c r="CJ56" s="181"/>
      <c r="CK56" s="181"/>
      <c r="CL56" s="181"/>
      <c r="CM56" s="181"/>
      <c r="CN56" s="181"/>
      <c r="CO56" s="181"/>
      <c r="CP56" s="181"/>
      <c r="CQ56" s="181"/>
      <c r="CR56" s="181"/>
      <c r="CS56" s="181"/>
      <c r="CT56" s="181"/>
      <c r="CU56" s="181"/>
      <c r="CV56" s="181"/>
      <c r="CW56" s="181"/>
      <c r="CX56" s="181"/>
      <c r="CY56" s="181"/>
      <c r="CZ56" s="181"/>
      <c r="DA56" s="181"/>
      <c r="DB56" s="181"/>
      <c r="DC56" s="181"/>
      <c r="DD56" s="181"/>
      <c r="DE56" s="181"/>
      <c r="DF56" s="181"/>
      <c r="DG56" s="181"/>
      <c r="DH56" s="181"/>
      <c r="DI56" s="181"/>
      <c r="DJ56" s="181"/>
      <c r="DK56" s="181"/>
      <c r="DL56" s="181"/>
      <c r="DM56" s="181"/>
      <c r="DN56" s="181"/>
      <c r="DO56" s="181"/>
      <c r="DP56" s="181"/>
      <c r="DQ56" s="181"/>
      <c r="DR56" s="181"/>
      <c r="DS56" s="181"/>
      <c r="DT56" s="181"/>
      <c r="DU56" s="181"/>
      <c r="DV56" s="181"/>
      <c r="DW56" s="181"/>
      <c r="DX56" s="181"/>
      <c r="DY56" s="181"/>
      <c r="DZ56" s="181"/>
      <c r="EA56" s="181"/>
      <c r="EB56" s="181"/>
      <c r="EC56" s="181"/>
      <c r="ED56" s="181"/>
      <c r="EE56" s="181"/>
      <c r="EF56" s="181"/>
      <c r="EG56" s="181"/>
      <c r="EH56" s="181"/>
    </row>
    <row r="57" spans="2:138">
      <c r="D57" s="4"/>
    </row>
    <row r="58" spans="2:138" ht="14.4">
      <c r="B58" s="10" t="s">
        <v>424</v>
      </c>
      <c r="D58" s="4"/>
    </row>
    <row r="59" spans="2:138">
      <c r="B59" t="s">
        <v>425</v>
      </c>
      <c r="D59" s="4"/>
      <c r="F59" s="179">
        <f>E64</f>
        <v>0</v>
      </c>
      <c r="G59" s="179">
        <f t="shared" ref="G59:R59" ca="1" si="35">F64</f>
        <v>0</v>
      </c>
      <c r="H59" s="179">
        <f t="shared" ca="1" si="35"/>
        <v>0</v>
      </c>
      <c r="I59" s="179">
        <f t="shared" ca="1" si="35"/>
        <v>59938974.036256775</v>
      </c>
      <c r="J59" s="179">
        <f t="shared" ca="1" si="35"/>
        <v>131506951.8360309</v>
      </c>
      <c r="K59" s="179">
        <f t="shared" ca="1" si="35"/>
        <v>207011168.4147926</v>
      </c>
      <c r="L59" s="179">
        <f t="shared" ca="1" si="35"/>
        <v>20110453.109162092</v>
      </c>
      <c r="M59" s="179">
        <f t="shared" ca="1" si="35"/>
        <v>21216528.030166008</v>
      </c>
      <c r="N59" s="179">
        <f t="shared" ca="1" si="35"/>
        <v>22383437.071825139</v>
      </c>
      <c r="O59" s="179">
        <f t="shared" ca="1" si="35"/>
        <v>23614526.110775523</v>
      </c>
      <c r="P59" s="179">
        <f t="shared" ca="1" si="35"/>
        <v>24913325.046868175</v>
      </c>
      <c r="Q59" s="179">
        <f t="shared" ca="1" si="35"/>
        <v>26283557.924445923</v>
      </c>
      <c r="R59" s="179">
        <f t="shared" ca="1" si="35"/>
        <v>27729153.610290449</v>
      </c>
      <c r="S59" s="179">
        <f t="shared" ref="S59" ca="1" si="36">R64</f>
        <v>29254257.058856424</v>
      </c>
      <c r="T59" s="179">
        <f t="shared" ref="T59" ca="1" si="37">S64</f>
        <v>30863241.197093528</v>
      </c>
      <c r="U59" s="179">
        <f t="shared" ref="U59" ca="1" si="38">T64</f>
        <v>32560719.462933671</v>
      </c>
      <c r="V59" s="179">
        <f t="shared" ref="V59" ca="1" si="39">U64</f>
        <v>34351559.033395022</v>
      </c>
      <c r="W59" s="179">
        <f t="shared" ref="W59" ca="1" si="40">V64</f>
        <v>36240894.780231752</v>
      </c>
      <c r="X59" s="179">
        <f t="shared" ref="X59" ca="1" si="41">W64</f>
        <v>38234143.993144497</v>
      </c>
      <c r="Y59" s="179">
        <f t="shared" ref="Y59" ca="1" si="42">X64</f>
        <v>40337021.912767448</v>
      </c>
      <c r="Z59" s="179">
        <f t="shared" ref="Z59" ca="1" si="43">Y64</f>
        <v>42555558.117969655</v>
      </c>
      <c r="AA59" s="179">
        <f t="shared" ref="AA59" ca="1" si="44">Z64</f>
        <v>44896113.814457983</v>
      </c>
      <c r="AB59" s="179">
        <f t="shared" ref="AB59" ca="1" si="45">AA64</f>
        <v>47365400.074253172</v>
      </c>
      <c r="AC59" s="179">
        <f t="shared" ref="AC59" ca="1" si="46">AB64</f>
        <v>49970497.078337096</v>
      </c>
      <c r="AD59" s="179">
        <f t="shared" ref="AD59" ca="1" si="47">AC64</f>
        <v>52718874.417645633</v>
      </c>
      <c r="AE59" s="179">
        <f t="shared" ref="AE59" ca="1" si="48">AD64</f>
        <v>55618412.510616146</v>
      </c>
      <c r="AF59" s="179">
        <f t="shared" ref="AF59" ca="1" si="49">AE64</f>
        <v>58677425.198700033</v>
      </c>
      <c r="AG59" s="179">
        <f t="shared" ref="AG59" ca="1" si="50">AF64</f>
        <v>61904683.584628537</v>
      </c>
      <c r="AH59" s="179">
        <f t="shared" ref="AH59" ca="1" si="51">AG64</f>
        <v>65309441.18178311</v>
      </c>
      <c r="AI59" s="179">
        <f t="shared" ref="AI59" ca="1" si="52">AH64</f>
        <v>68901460.446781188</v>
      </c>
      <c r="AJ59" s="179">
        <f t="shared" ref="AJ59" ca="1" si="53">AI64</f>
        <v>72691040.771354154</v>
      </c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  <c r="CY59" s="181"/>
      <c r="CZ59" s="181"/>
      <c r="DA59" s="181"/>
      <c r="DB59" s="181"/>
      <c r="DC59" s="181"/>
      <c r="DD59" s="181"/>
      <c r="DE59" s="181"/>
      <c r="DF59" s="181"/>
      <c r="DG59" s="181"/>
      <c r="DH59" s="181"/>
      <c r="DI59" s="181"/>
      <c r="DJ59" s="181"/>
      <c r="DK59" s="181"/>
      <c r="DL59" s="181"/>
      <c r="DM59" s="181"/>
      <c r="DN59" s="181"/>
      <c r="DO59" s="181"/>
      <c r="DP59" s="181"/>
      <c r="DQ59" s="181"/>
      <c r="DR59" s="181"/>
      <c r="DS59" s="181"/>
      <c r="DT59" s="181"/>
      <c r="DU59" s="181"/>
      <c r="DV59" s="181"/>
      <c r="DW59" s="181"/>
      <c r="DX59" s="181"/>
      <c r="DY59" s="181"/>
      <c r="DZ59" s="181"/>
      <c r="EA59" s="181"/>
      <c r="EB59" s="181"/>
      <c r="EC59" s="181"/>
      <c r="ED59" s="181"/>
      <c r="EE59" s="181"/>
      <c r="EF59" s="181"/>
      <c r="EG59" s="181"/>
      <c r="EH59" s="181"/>
    </row>
    <row r="60" spans="2:138">
      <c r="B60" t="s">
        <v>426</v>
      </c>
      <c r="D60" s="21">
        <f ca="1">SUM(F60:R60)</f>
        <v>1835196.6520607492</v>
      </c>
      <c r="F60" s="179">
        <f>IF(F13='Phase I - Summary'!$D$21,'Phase I - Summary'!$I$37*'Phase I - Summary'!$I$36,0)</f>
        <v>0</v>
      </c>
      <c r="G60" s="179">
        <f>IF(G13='Phase I - Summary'!$D$21,'Phase I - Summary'!$I$37*'Phase I - Summary'!$I$36,0)</f>
        <v>0</v>
      </c>
      <c r="H60" s="179">
        <f ca="1">IF(H13='Phase I - Summary'!$D$21,'Phase I - Summary'!$I$37*'Phase I - Summary'!$I$36,0)</f>
        <v>1835196.6520607492</v>
      </c>
      <c r="I60" s="179">
        <f>IF(I13='Phase I - Summary'!$D$21,'Phase I - Summary'!$I$37*'Phase I - Summary'!$I$36,0)</f>
        <v>0</v>
      </c>
      <c r="J60" s="179">
        <f>IF(J13='Phase I - Summary'!$D$21,'Phase I - Summary'!$I$37*'Phase I - Summary'!$I$36,0)</f>
        <v>0</v>
      </c>
      <c r="K60" s="179">
        <f>IF(K13='Phase I - Summary'!$D$21,'Phase I - Summary'!$I$37*'Phase I - Summary'!$I$36,0)</f>
        <v>0</v>
      </c>
      <c r="L60" s="179">
        <f>IF(L13='Phase I - Summary'!$D$21,'Phase I - Summary'!$I$37*'Phase I - Summary'!$I$36,0)</f>
        <v>0</v>
      </c>
      <c r="M60" s="179">
        <f>IF(M13='Phase I - Summary'!$D$21,'Phase I - Summary'!$I$37*'Phase I - Summary'!$I$36,0)</f>
        <v>0</v>
      </c>
      <c r="N60" s="179">
        <f>IF(N13='Phase I - Summary'!$D$21,'Phase I - Summary'!$I$37*'Phase I - Summary'!$I$36,0)</f>
        <v>0</v>
      </c>
      <c r="O60" s="179">
        <f>IF(O13='Phase I - Summary'!$D$21,'Phase I - Summary'!$I$37*'Phase I - Summary'!$I$36,0)</f>
        <v>0</v>
      </c>
      <c r="P60" s="179">
        <f>IF(P13='Phase I - Summary'!$D$21,'Phase I - Summary'!$I$37*'Phase I - Summary'!$I$36,0)</f>
        <v>0</v>
      </c>
      <c r="Q60" s="179">
        <f>IF(Q13='Phase I - Summary'!$D$21,'Phase I - Summary'!$I$37*'Phase I - Summary'!$I$36,0)</f>
        <v>0</v>
      </c>
      <c r="R60" s="179">
        <f>IF(R13='Phase I - Summary'!$D$21,'Phase I - Summary'!$I$37*'Phase I - Summary'!$I$36,0)</f>
        <v>0</v>
      </c>
      <c r="S60" s="179">
        <f>IF(S13='Phase I - Summary'!$D$21,'Phase I - Summary'!$I$37*'Phase I - Summary'!$I$36,0)</f>
        <v>0</v>
      </c>
      <c r="T60" s="179">
        <f>IF(T13='Phase I - Summary'!$D$21,'Phase I - Summary'!$I$37*'Phase I - Summary'!$I$36,0)</f>
        <v>0</v>
      </c>
      <c r="U60" s="179">
        <f>IF(U13='Phase I - Summary'!$D$21,'Phase I - Summary'!$I$37*'Phase I - Summary'!$I$36,0)</f>
        <v>0</v>
      </c>
      <c r="V60" s="179">
        <f>IF(V13='Phase I - Summary'!$D$21,'Phase I - Summary'!$I$37*'Phase I - Summary'!$I$36,0)</f>
        <v>0</v>
      </c>
      <c r="W60" s="179">
        <f>IF(W13='Phase I - Summary'!$D$21,'Phase I - Summary'!$I$37*'Phase I - Summary'!$I$36,0)</f>
        <v>0</v>
      </c>
      <c r="X60" s="179">
        <f>IF(X13='Phase I - Summary'!$D$21,'Phase I - Summary'!$I$37*'Phase I - Summary'!$I$36,0)</f>
        <v>0</v>
      </c>
      <c r="Y60" s="179">
        <f>IF(Y13='Phase I - Summary'!$D$21,'Phase I - Summary'!$I$37*'Phase I - Summary'!$I$36,0)</f>
        <v>0</v>
      </c>
      <c r="Z60" s="179">
        <f>IF(Z13='Phase I - Summary'!$D$21,'Phase I - Summary'!$I$37*'Phase I - Summary'!$I$36,0)</f>
        <v>0</v>
      </c>
      <c r="AA60" s="179">
        <f>IF(AA13='Phase I - Summary'!$D$21,'Phase I - Summary'!$I$37*'Phase I - Summary'!$I$36,0)</f>
        <v>0</v>
      </c>
      <c r="AB60" s="179">
        <f>IF(AB13='Phase I - Summary'!$D$21,'Phase I - Summary'!$I$37*'Phase I - Summary'!$I$36,0)</f>
        <v>0</v>
      </c>
      <c r="AC60" s="179">
        <f>IF(AC13='Phase I - Summary'!$D$21,'Phase I - Summary'!$I$37*'Phase I - Summary'!$I$36,0)</f>
        <v>0</v>
      </c>
      <c r="AD60" s="179">
        <f>IF(AD13='Phase I - Summary'!$D$21,'Phase I - Summary'!$I$37*'Phase I - Summary'!$I$36,0)</f>
        <v>0</v>
      </c>
      <c r="AE60" s="179">
        <f>IF(AE13='Phase I - Summary'!$D$21,'Phase I - Summary'!$I$37*'Phase I - Summary'!$I$36,0)</f>
        <v>0</v>
      </c>
      <c r="AF60" s="179">
        <f>IF(AF13='Phase I - Summary'!$D$21,'Phase I - Summary'!$I$37*'Phase I - Summary'!$I$36,0)</f>
        <v>0</v>
      </c>
      <c r="AG60" s="179">
        <f>IF(AG13='Phase I - Summary'!$D$21,'Phase I - Summary'!$I$37*'Phase I - Summary'!$I$36,0)</f>
        <v>0</v>
      </c>
      <c r="AH60" s="179">
        <f>IF(AH13='Phase I - Summary'!$D$21,'Phase I - Summary'!$I$37*'Phase I - Summary'!$I$36,0)</f>
        <v>0</v>
      </c>
      <c r="AI60" s="179">
        <f>IF(AI13='Phase I - Summary'!$D$21,'Phase I - Summary'!$I$37*'Phase I - Summary'!$I$36,0)</f>
        <v>0</v>
      </c>
      <c r="AJ60" s="179">
        <f>IF(AJ13='Phase I - Summary'!$D$21,'Phase I - Summary'!$I$37*'Phase I - Summary'!$I$36,0)</f>
        <v>0</v>
      </c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1"/>
      <c r="DX60" s="181"/>
      <c r="DY60" s="181"/>
      <c r="DZ60" s="181"/>
      <c r="EA60" s="181"/>
      <c r="EB60" s="181"/>
      <c r="EC60" s="181"/>
      <c r="ED60" s="181"/>
      <c r="EE60" s="181"/>
      <c r="EF60" s="181"/>
      <c r="EG60" s="181"/>
      <c r="EH60" s="181"/>
    </row>
    <row r="61" spans="2:138">
      <c r="B61" t="s">
        <v>427</v>
      </c>
      <c r="D61" s="21">
        <f t="shared" ref="D61:D62" ca="1" si="54">SUM(F61:R61)</f>
        <v>214756898.9489181</v>
      </c>
      <c r="F61" s="179">
        <f ca="1">MAX(-F56,0)</f>
        <v>0</v>
      </c>
      <c r="G61" s="179">
        <f t="shared" ref="G61:R61" ca="1" si="55">MAX(-G56,0)</f>
        <v>0</v>
      </c>
      <c r="H61" s="179">
        <f t="shared" ca="1" si="55"/>
        <v>58103777.384196028</v>
      </c>
      <c r="I61" s="179">
        <f t="shared" ca="1" si="55"/>
        <v>68271334.227779999</v>
      </c>
      <c r="J61" s="179">
        <f t="shared" ca="1" si="55"/>
        <v>68271334.227779999</v>
      </c>
      <c r="K61" s="179">
        <f t="shared" ca="1" si="55"/>
        <v>20110453.109162085</v>
      </c>
      <c r="L61" s="179">
        <f t="shared" ca="1" si="55"/>
        <v>0</v>
      </c>
      <c r="M61" s="179">
        <f t="shared" ca="1" si="55"/>
        <v>0</v>
      </c>
      <c r="N61" s="179">
        <f t="shared" ca="1" si="55"/>
        <v>0</v>
      </c>
      <c r="O61" s="179">
        <f t="shared" ca="1" si="55"/>
        <v>0</v>
      </c>
      <c r="P61" s="179">
        <f t="shared" ca="1" si="55"/>
        <v>0</v>
      </c>
      <c r="Q61" s="179">
        <f t="shared" ca="1" si="55"/>
        <v>0</v>
      </c>
      <c r="R61" s="179">
        <f t="shared" ca="1" si="55"/>
        <v>0</v>
      </c>
      <c r="S61" s="179">
        <f t="shared" ref="S61:AD61" ca="1" si="56">MAX(-S56,0)</f>
        <v>0</v>
      </c>
      <c r="T61" s="179">
        <f t="shared" ca="1" si="56"/>
        <v>0</v>
      </c>
      <c r="U61" s="179">
        <f t="shared" ca="1" si="56"/>
        <v>0</v>
      </c>
      <c r="V61" s="179">
        <f t="shared" ca="1" si="56"/>
        <v>0</v>
      </c>
      <c r="W61" s="179">
        <f t="shared" ca="1" si="56"/>
        <v>0</v>
      </c>
      <c r="X61" s="179">
        <f t="shared" ca="1" si="56"/>
        <v>0</v>
      </c>
      <c r="Y61" s="179">
        <f t="shared" ca="1" si="56"/>
        <v>0</v>
      </c>
      <c r="Z61" s="179">
        <f t="shared" ca="1" si="56"/>
        <v>0</v>
      </c>
      <c r="AA61" s="179">
        <f t="shared" ca="1" si="56"/>
        <v>0</v>
      </c>
      <c r="AB61" s="179">
        <f t="shared" ca="1" si="56"/>
        <v>0</v>
      </c>
      <c r="AC61" s="179">
        <f t="shared" ca="1" si="56"/>
        <v>0</v>
      </c>
      <c r="AD61" s="179">
        <f t="shared" ca="1" si="56"/>
        <v>0</v>
      </c>
      <c r="AE61" s="179">
        <f t="shared" ref="AE61:AJ61" ca="1" si="57">MAX(-AE56,0)</f>
        <v>0</v>
      </c>
      <c r="AF61" s="179">
        <f t="shared" ca="1" si="57"/>
        <v>0</v>
      </c>
      <c r="AG61" s="179">
        <f t="shared" ca="1" si="57"/>
        <v>0</v>
      </c>
      <c r="AH61" s="179">
        <f t="shared" ca="1" si="57"/>
        <v>0</v>
      </c>
      <c r="AI61" s="179">
        <f t="shared" ca="1" si="57"/>
        <v>0</v>
      </c>
      <c r="AJ61" s="179">
        <f t="shared" ca="1" si="57"/>
        <v>0</v>
      </c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  <c r="DA61" s="181"/>
      <c r="DB61" s="181"/>
      <c r="DC61" s="181"/>
      <c r="DD61" s="181"/>
      <c r="DE61" s="181"/>
      <c r="DF61" s="181"/>
      <c r="DG61" s="181"/>
      <c r="DH61" s="181"/>
      <c r="DI61" s="181"/>
      <c r="DJ61" s="181"/>
      <c r="DK61" s="181"/>
      <c r="DL61" s="181"/>
      <c r="DM61" s="181"/>
      <c r="DN61" s="181"/>
      <c r="DO61" s="181"/>
      <c r="DP61" s="181"/>
      <c r="DQ61" s="181"/>
      <c r="DR61" s="181"/>
      <c r="DS61" s="181"/>
      <c r="DT61" s="181"/>
      <c r="DU61" s="181"/>
      <c r="DV61" s="181"/>
      <c r="DW61" s="181"/>
      <c r="DX61" s="181"/>
      <c r="DY61" s="181"/>
      <c r="DZ61" s="181"/>
      <c r="EA61" s="181"/>
      <c r="EB61" s="181"/>
      <c r="EC61" s="181"/>
      <c r="ED61" s="181"/>
      <c r="EE61" s="181"/>
      <c r="EF61" s="181"/>
      <c r="EG61" s="181"/>
      <c r="EH61" s="181"/>
    </row>
    <row r="62" spans="2:138">
      <c r="B62" t="s">
        <v>428</v>
      </c>
      <c r="D62" s="21">
        <f t="shared" ca="1" si="54"/>
        <v>31058944.135483749</v>
      </c>
      <c r="F62" s="179">
        <f>F59*'Phase I - Summary'!$I$34</f>
        <v>0</v>
      </c>
      <c r="G62" s="179">
        <f ca="1">G59*'Phase I - Summary'!$I$34</f>
        <v>0</v>
      </c>
      <c r="H62" s="179">
        <f ca="1">H59*'Phase I - Summary'!$I$34</f>
        <v>0</v>
      </c>
      <c r="I62" s="179">
        <f ca="1">I59*'Phase I - Summary'!$I$34</f>
        <v>3296643.571994123</v>
      </c>
      <c r="J62" s="179">
        <f ca="1">J59*'Phase I - Summary'!$I$34</f>
        <v>7232882.3509817002</v>
      </c>
      <c r="K62" s="179">
        <f ca="1">K59*'Phase I - Summary'!$I$34</f>
        <v>11385614.262813594</v>
      </c>
      <c r="L62" s="179">
        <f ca="1">L59*'Phase I - Summary'!$I$34</f>
        <v>1106074.9210039151</v>
      </c>
      <c r="M62" s="179">
        <f ca="1">M59*'Phase I - Summary'!$I$34</f>
        <v>1166909.0416591305</v>
      </c>
      <c r="N62" s="179">
        <f ca="1">N59*'Phase I - Summary'!$I$34</f>
        <v>1231089.0389503827</v>
      </c>
      <c r="O62" s="179">
        <f ca="1">O59*'Phase I - Summary'!$I$34</f>
        <v>1298798.936092654</v>
      </c>
      <c r="P62" s="179">
        <f ca="1">P59*'Phase I - Summary'!$I$34</f>
        <v>1370232.8775777498</v>
      </c>
      <c r="Q62" s="179">
        <f ca="1">Q59*'Phase I - Summary'!$I$34</f>
        <v>1445595.6858445259</v>
      </c>
      <c r="R62" s="179">
        <f ca="1">R59*'Phase I - Summary'!$I$34</f>
        <v>1525103.4485659748</v>
      </c>
      <c r="S62" s="179">
        <f ca="1">S59*'Phase I - Summary'!$I$34</f>
        <v>1608984.1382371036</v>
      </c>
      <c r="T62" s="179">
        <f ca="1">T59*'Phase I - Summary'!$I$34</f>
        <v>1697478.2658401444</v>
      </c>
      <c r="U62" s="179">
        <f ca="1">U59*'Phase I - Summary'!$I$34</f>
        <v>1790839.5704613521</v>
      </c>
      <c r="V62" s="179">
        <f ca="1">V59*'Phase I - Summary'!$I$34</f>
        <v>1889335.7468367266</v>
      </c>
      <c r="W62" s="179">
        <f ca="1">W59*'Phase I - Summary'!$I$34</f>
        <v>1993249.2129127467</v>
      </c>
      <c r="X62" s="179">
        <f ca="1">X59*'Phase I - Summary'!$I$34</f>
        <v>2102877.9196229475</v>
      </c>
      <c r="Y62" s="179">
        <f ca="1">Y59*'Phase I - Summary'!$I$34</f>
        <v>2218536.2052022098</v>
      </c>
      <c r="Z62" s="179">
        <f ca="1">Z59*'Phase I - Summary'!$I$34</f>
        <v>2340555.6964883311</v>
      </c>
      <c r="AA62" s="179">
        <f ca="1">AA59*'Phase I - Summary'!$I$34</f>
        <v>2469286.2597951894</v>
      </c>
      <c r="AB62" s="179">
        <f ca="1">AB59*'Phase I - Summary'!$I$34</f>
        <v>2605097.0040839249</v>
      </c>
      <c r="AC62" s="179">
        <f ca="1">AC59*'Phase I - Summary'!$I$34</f>
        <v>2748377.3393085408</v>
      </c>
      <c r="AD62" s="179">
        <f ca="1">AD59*'Phase I - Summary'!$I$34</f>
        <v>2899538.09297051</v>
      </c>
      <c r="AE62" s="179">
        <f ca="1">AE59*'Phase I - Summary'!$I$34</f>
        <v>3059012.6880838885</v>
      </c>
      <c r="AF62" s="179">
        <f ca="1">AF59*'Phase I - Summary'!$I$34</f>
        <v>3227258.3859285023</v>
      </c>
      <c r="AG62" s="179">
        <f ca="1">AG59*'Phase I - Summary'!$I$34</f>
        <v>3404757.5971545698</v>
      </c>
      <c r="AH62" s="179">
        <f ca="1">AH59*'Phase I - Summary'!$I$34</f>
        <v>3592019.2649980714</v>
      </c>
      <c r="AI62" s="179">
        <f ca="1">AI59*'Phase I - Summary'!$I$34</f>
        <v>3789580.324572966</v>
      </c>
      <c r="AJ62" s="179">
        <f ca="1">AJ59*'Phase I - Summary'!$I$34</f>
        <v>3998007.2424244788</v>
      </c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  <c r="DA62" s="181"/>
      <c r="DB62" s="181"/>
      <c r="DC62" s="181"/>
      <c r="DD62" s="181"/>
      <c r="DE62" s="181"/>
      <c r="DF62" s="181"/>
      <c r="DG62" s="181"/>
      <c r="DH62" s="181"/>
      <c r="DI62" s="181"/>
      <c r="DJ62" s="181"/>
      <c r="DK62" s="181"/>
      <c r="DL62" s="181"/>
      <c r="DM62" s="181"/>
      <c r="DN62" s="181"/>
      <c r="DO62" s="181"/>
      <c r="DP62" s="181"/>
      <c r="DQ62" s="181"/>
      <c r="DR62" s="181"/>
      <c r="DS62" s="181"/>
      <c r="DT62" s="181"/>
      <c r="DU62" s="181"/>
      <c r="DV62" s="181"/>
      <c r="DW62" s="181"/>
      <c r="DX62" s="181"/>
      <c r="DY62" s="181"/>
      <c r="DZ62" s="181"/>
      <c r="EA62" s="181"/>
      <c r="EB62" s="181"/>
      <c r="EC62" s="181"/>
      <c r="ED62" s="181"/>
      <c r="EE62" s="181"/>
      <c r="EF62" s="181"/>
      <c r="EG62" s="181"/>
      <c r="EH62" s="181"/>
    </row>
    <row r="63" spans="2:138">
      <c r="B63" t="s">
        <v>429</v>
      </c>
      <c r="D63" s="4"/>
      <c r="F63" s="179">
        <f>IF(F13='Phase I - Summary'!$D$24,'Phase I - Pro Forma'!F62+'Phase I - Pro Forma'!F59,0)</f>
        <v>0</v>
      </c>
      <c r="G63" s="179">
        <f>IF(G13='Phase I - Summary'!$D$24,'Phase I - Pro Forma'!G62+'Phase I - Pro Forma'!G59,0)</f>
        <v>0</v>
      </c>
      <c r="H63" s="179">
        <f>IF(H13='Phase I - Summary'!$D$24,'Phase I - Pro Forma'!H62+'Phase I - Pro Forma'!H59,0)</f>
        <v>0</v>
      </c>
      <c r="I63" s="179">
        <f>IF(I13='Phase I - Summary'!$D$24,'Phase I - Pro Forma'!I62+'Phase I - Pro Forma'!I59,0)</f>
        <v>0</v>
      </c>
      <c r="J63" s="179">
        <f>IF(J13='Phase I - Summary'!$D$24,'Phase I - Pro Forma'!J62+'Phase I - Pro Forma'!J59,0)</f>
        <v>0</v>
      </c>
      <c r="K63" s="179">
        <f ca="1">IF(K13='Phase I - Summary'!$D$24,'Phase I - Pro Forma'!K62+'Phase I - Pro Forma'!K59,0)</f>
        <v>218396782.6776062</v>
      </c>
      <c r="L63" s="179">
        <f>IF(L13='Phase I - Summary'!$D$24,'Phase I - Pro Forma'!L62+'Phase I - Pro Forma'!L59,0)</f>
        <v>0</v>
      </c>
      <c r="M63" s="179">
        <f>IF(M13='Phase I - Summary'!$D$24,'Phase I - Pro Forma'!M62+'Phase I - Pro Forma'!M59,0)</f>
        <v>0</v>
      </c>
      <c r="N63" s="179">
        <f>IF(N13='Phase I - Summary'!$D$24,'Phase I - Pro Forma'!N62+'Phase I - Pro Forma'!N59,0)</f>
        <v>0</v>
      </c>
      <c r="O63" s="179">
        <f>IF(O13='Phase I - Summary'!$D$24,'Phase I - Pro Forma'!O62+'Phase I - Pro Forma'!O59,0)</f>
        <v>0</v>
      </c>
      <c r="P63" s="179">
        <f>IF(P13='Phase I - Summary'!$D$24,'Phase I - Pro Forma'!P62+'Phase I - Pro Forma'!P59,0)</f>
        <v>0</v>
      </c>
      <c r="Q63" s="179">
        <f>IF(Q13='Phase I - Summary'!$D$24,'Phase I - Pro Forma'!Q62+'Phase I - Pro Forma'!Q59,0)</f>
        <v>0</v>
      </c>
      <c r="R63" s="179">
        <f>IF(R13='Phase I - Summary'!$D$24,'Phase I - Pro Forma'!R62+'Phase I - Pro Forma'!R59,0)</f>
        <v>0</v>
      </c>
      <c r="S63" s="179">
        <f>IF(S13='Phase I - Summary'!$D$24,'Phase I - Pro Forma'!S62+'Phase I - Pro Forma'!S59,0)</f>
        <v>0</v>
      </c>
      <c r="T63" s="179">
        <f>IF(T13='Phase I - Summary'!$D$24,'Phase I - Pro Forma'!T62+'Phase I - Pro Forma'!T59,0)</f>
        <v>0</v>
      </c>
      <c r="U63" s="179">
        <f>IF(U13='Phase I - Summary'!$D$24,'Phase I - Pro Forma'!U62+'Phase I - Pro Forma'!U59,0)</f>
        <v>0</v>
      </c>
      <c r="V63" s="179">
        <f>IF(V13='Phase I - Summary'!$D$24,'Phase I - Pro Forma'!V62+'Phase I - Pro Forma'!V59,0)</f>
        <v>0</v>
      </c>
      <c r="W63" s="179">
        <f>IF(W13='Phase I - Summary'!$D$24,'Phase I - Pro Forma'!W62+'Phase I - Pro Forma'!W59,0)</f>
        <v>0</v>
      </c>
      <c r="X63" s="179">
        <f>IF(X13='Phase I - Summary'!$D$24,'Phase I - Pro Forma'!X62+'Phase I - Pro Forma'!X59,0)</f>
        <v>0</v>
      </c>
      <c r="Y63" s="179">
        <f>IF(Y13='Phase I - Summary'!$D$24,'Phase I - Pro Forma'!Y62+'Phase I - Pro Forma'!Y59,0)</f>
        <v>0</v>
      </c>
      <c r="Z63" s="179">
        <f>IF(Z13='Phase I - Summary'!$D$24,'Phase I - Pro Forma'!Z62+'Phase I - Pro Forma'!Z59,0)</f>
        <v>0</v>
      </c>
      <c r="AA63" s="179">
        <f>IF(AA13='Phase I - Summary'!$D$24,'Phase I - Pro Forma'!AA62+'Phase I - Pro Forma'!AA59,0)</f>
        <v>0</v>
      </c>
      <c r="AB63" s="179">
        <f>IF(AB13='Phase I - Summary'!$D$24,'Phase I - Pro Forma'!AB62+'Phase I - Pro Forma'!AB59,0)</f>
        <v>0</v>
      </c>
      <c r="AC63" s="179">
        <f>IF(AC13='Phase I - Summary'!$D$24,'Phase I - Pro Forma'!AC62+'Phase I - Pro Forma'!AC59,0)</f>
        <v>0</v>
      </c>
      <c r="AD63" s="179">
        <f>IF(AD13='Phase I - Summary'!$D$24,'Phase I - Pro Forma'!AD62+'Phase I - Pro Forma'!AD59,0)</f>
        <v>0</v>
      </c>
      <c r="AE63" s="179">
        <f>IF(AE13='Phase I - Summary'!$D$24,'Phase I - Pro Forma'!AE62+'Phase I - Pro Forma'!AE59,0)</f>
        <v>0</v>
      </c>
      <c r="AF63" s="179">
        <f>IF(AF13='Phase I - Summary'!$D$24,'Phase I - Pro Forma'!AF62+'Phase I - Pro Forma'!AF59,0)</f>
        <v>0</v>
      </c>
      <c r="AG63" s="179">
        <f>IF(AG13='Phase I - Summary'!$D$24,'Phase I - Pro Forma'!AG62+'Phase I - Pro Forma'!AG59,0)</f>
        <v>0</v>
      </c>
      <c r="AH63" s="179">
        <f>IF(AH13='Phase I - Summary'!$D$24,'Phase I - Pro Forma'!AH62+'Phase I - Pro Forma'!AH59,0)</f>
        <v>0</v>
      </c>
      <c r="AI63" s="179">
        <f>IF(AI13='Phase I - Summary'!$D$24,'Phase I - Pro Forma'!AI62+'Phase I - Pro Forma'!AI59,0)</f>
        <v>0</v>
      </c>
      <c r="AJ63" s="179">
        <f>IF(AJ13='Phase I - Summary'!$D$24,'Phase I - Pro Forma'!AJ62+'Phase I - Pro Forma'!AJ59,0)</f>
        <v>0</v>
      </c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1"/>
      <c r="DX63" s="181"/>
      <c r="DY63" s="181"/>
      <c r="DZ63" s="181"/>
      <c r="EA63" s="181"/>
      <c r="EB63" s="181"/>
      <c r="EC63" s="181"/>
      <c r="ED63" s="181"/>
      <c r="EE63" s="181"/>
      <c r="EF63" s="181"/>
      <c r="EG63" s="181"/>
      <c r="EH63" s="181"/>
    </row>
    <row r="64" spans="2:138">
      <c r="B64" t="s">
        <v>430</v>
      </c>
      <c r="D64" s="4"/>
      <c r="F64" s="179">
        <f ca="1">F59+F60+F61+F62-F63</f>
        <v>0</v>
      </c>
      <c r="G64" s="179">
        <f t="shared" ref="G64:R64" ca="1" si="58">G59+G60+G61+G62-G63</f>
        <v>0</v>
      </c>
      <c r="H64" s="179">
        <f t="shared" ca="1" si="58"/>
        <v>59938974.036256775</v>
      </c>
      <c r="I64" s="179">
        <f t="shared" ca="1" si="58"/>
        <v>131506951.8360309</v>
      </c>
      <c r="J64" s="179">
        <f t="shared" ca="1" si="58"/>
        <v>207011168.4147926</v>
      </c>
      <c r="K64" s="179">
        <f t="shared" ca="1" si="58"/>
        <v>20110453.109162092</v>
      </c>
      <c r="L64" s="179">
        <f t="shared" ca="1" si="58"/>
        <v>21216528.030166008</v>
      </c>
      <c r="M64" s="179">
        <f t="shared" ca="1" si="58"/>
        <v>22383437.071825139</v>
      </c>
      <c r="N64" s="179">
        <f t="shared" ca="1" si="58"/>
        <v>23614526.110775523</v>
      </c>
      <c r="O64" s="179">
        <f t="shared" ca="1" si="58"/>
        <v>24913325.046868175</v>
      </c>
      <c r="P64" s="179">
        <f t="shared" ca="1" si="58"/>
        <v>26283557.924445923</v>
      </c>
      <c r="Q64" s="179">
        <f t="shared" ca="1" si="58"/>
        <v>27729153.610290449</v>
      </c>
      <c r="R64" s="179">
        <f t="shared" ca="1" si="58"/>
        <v>29254257.058856424</v>
      </c>
      <c r="S64" s="179">
        <f t="shared" ref="S64:AD64" ca="1" si="59">S59+S60+S61+S62-S63</f>
        <v>30863241.197093528</v>
      </c>
      <c r="T64" s="179">
        <f t="shared" ca="1" si="59"/>
        <v>32560719.462933671</v>
      </c>
      <c r="U64" s="179">
        <f t="shared" ca="1" si="59"/>
        <v>34351559.033395022</v>
      </c>
      <c r="V64" s="179">
        <f t="shared" ca="1" si="59"/>
        <v>36240894.780231752</v>
      </c>
      <c r="W64" s="179">
        <f t="shared" ca="1" si="59"/>
        <v>38234143.993144497</v>
      </c>
      <c r="X64" s="179">
        <f t="shared" ca="1" si="59"/>
        <v>40337021.912767448</v>
      </c>
      <c r="Y64" s="179">
        <f t="shared" ca="1" si="59"/>
        <v>42555558.117969655</v>
      </c>
      <c r="Z64" s="179">
        <f t="shared" ca="1" si="59"/>
        <v>44896113.814457983</v>
      </c>
      <c r="AA64" s="179">
        <f t="shared" ca="1" si="59"/>
        <v>47365400.074253172</v>
      </c>
      <c r="AB64" s="179">
        <f t="shared" ca="1" si="59"/>
        <v>49970497.078337096</v>
      </c>
      <c r="AC64" s="179">
        <f t="shared" ca="1" si="59"/>
        <v>52718874.417645633</v>
      </c>
      <c r="AD64" s="179">
        <f t="shared" ca="1" si="59"/>
        <v>55618412.510616146</v>
      </c>
      <c r="AE64" s="179">
        <f t="shared" ref="AE64:AJ64" ca="1" si="60">AE59+AE60+AE61+AE62-AE63</f>
        <v>58677425.198700033</v>
      </c>
      <c r="AF64" s="179">
        <f t="shared" ca="1" si="60"/>
        <v>61904683.584628537</v>
      </c>
      <c r="AG64" s="179">
        <f t="shared" ca="1" si="60"/>
        <v>65309441.18178311</v>
      </c>
      <c r="AH64" s="179">
        <f t="shared" ca="1" si="60"/>
        <v>68901460.446781188</v>
      </c>
      <c r="AI64" s="179">
        <f t="shared" ca="1" si="60"/>
        <v>72691040.771354154</v>
      </c>
      <c r="AJ64" s="179">
        <f t="shared" ca="1" si="60"/>
        <v>76689048.013778627</v>
      </c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81"/>
      <c r="DR64" s="181"/>
      <c r="DS64" s="181"/>
      <c r="DT64" s="181"/>
      <c r="DU64" s="181"/>
      <c r="DV64" s="181"/>
      <c r="DW64" s="181"/>
      <c r="DX64" s="181"/>
      <c r="DY64" s="181"/>
      <c r="DZ64" s="181"/>
      <c r="EA64" s="181"/>
      <c r="EB64" s="181"/>
      <c r="EC64" s="181"/>
      <c r="ED64" s="181"/>
      <c r="EE64" s="181"/>
      <c r="EF64" s="181"/>
      <c r="EG64" s="181"/>
      <c r="EH64" s="181"/>
    </row>
    <row r="65" spans="2:138">
      <c r="D65" s="4"/>
    </row>
    <row r="66" spans="2:138">
      <c r="B66" t="s">
        <v>431</v>
      </c>
      <c r="D66" s="4"/>
      <c r="F66" s="7">
        <f ca="1">F56+F61-F63</f>
        <v>0</v>
      </c>
      <c r="G66" s="7">
        <f t="shared" ref="G66:R66" ca="1" si="61">G56+G61-G63</f>
        <v>0</v>
      </c>
      <c r="H66" s="7">
        <f t="shared" ca="1" si="61"/>
        <v>0</v>
      </c>
      <c r="I66" s="7">
        <f t="shared" ca="1" si="61"/>
        <v>0</v>
      </c>
      <c r="J66" s="7">
        <f t="shared" ca="1" si="61"/>
        <v>0</v>
      </c>
      <c r="K66" s="7">
        <f t="shared" ca="1" si="61"/>
        <v>-218396782.6776062</v>
      </c>
      <c r="L66" s="7">
        <f t="shared" ca="1" si="61"/>
        <v>19394798.637220353</v>
      </c>
      <c r="M66" s="7">
        <f t="shared" ca="1" si="61"/>
        <v>19940182.977748509</v>
      </c>
      <c r="N66" s="7">
        <f t="shared" ca="1" si="61"/>
        <v>20499380.142000385</v>
      </c>
      <c r="O66" s="7">
        <f t="shared" ca="1" si="61"/>
        <v>21072662.149416123</v>
      </c>
      <c r="P66" s="7">
        <f t="shared" ca="1" si="61"/>
        <v>21660301.73564332</v>
      </c>
      <c r="Q66" s="7">
        <f t="shared" ca="1" si="61"/>
        <v>426743795.65099216</v>
      </c>
      <c r="R66" s="7">
        <f t="shared" ca="1" si="61"/>
        <v>22879745.984658998</v>
      </c>
      <c r="S66" s="7">
        <f t="shared" ref="S66:AD66" ca="1" si="62">S56+S61-S63</f>
        <v>23512096.31749627</v>
      </c>
      <c r="T66" s="7">
        <f t="shared" ca="1" si="62"/>
        <v>24159894.693591751</v>
      </c>
      <c r="U66" s="7">
        <f t="shared" ca="1" si="62"/>
        <v>24823411.416320931</v>
      </c>
      <c r="V66" s="7">
        <f t="shared" ca="1" si="62"/>
        <v>25502914.862009749</v>
      </c>
      <c r="W66" s="7">
        <f t="shared" ca="1" si="62"/>
        <v>26198670.910426304</v>
      </c>
      <c r="X66" s="7">
        <f t="shared" ca="1" si="62"/>
        <v>26910942.33227466</v>
      </c>
      <c r="Y66" s="7">
        <f t="shared" ca="1" si="62"/>
        <v>27639988.131091498</v>
      </c>
      <c r="Z66" s="7">
        <f t="shared" ca="1" si="62"/>
        <v>28386062.83680227</v>
      </c>
      <c r="AA66" s="7">
        <f t="shared" ca="1" si="62"/>
        <v>29149415.74804173</v>
      </c>
      <c r="AB66" s="7">
        <f t="shared" ca="1" si="62"/>
        <v>29930290.120183997</v>
      </c>
      <c r="AC66" s="7">
        <f t="shared" ca="1" si="62"/>
        <v>30728922.295858696</v>
      </c>
      <c r="AD66" s="7">
        <f t="shared" ca="1" si="62"/>
        <v>31545540.774553042</v>
      </c>
      <c r="AE66" s="7">
        <f t="shared" ref="AE66:AJ66" ca="1" si="63">AE56+AE61-AE63</f>
        <v>32380365.217712488</v>
      </c>
      <c r="AF66" s="7">
        <f t="shared" ca="1" si="63"/>
        <v>33233605.385556638</v>
      </c>
      <c r="AG66" s="7">
        <f t="shared" ca="1" si="63"/>
        <v>34105460.001619905</v>
      </c>
      <c r="AH66" s="7">
        <f t="shared" ca="1" si="63"/>
        <v>34996115.540808678</v>
      </c>
      <c r="AI66" s="7">
        <f t="shared" ca="1" si="63"/>
        <v>35905744.93653772</v>
      </c>
      <c r="AJ66" s="7">
        <f t="shared" ca="1" si="63"/>
        <v>36834506.202266887</v>
      </c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  <c r="DA66" s="181"/>
      <c r="DB66" s="181"/>
      <c r="DC66" s="181"/>
      <c r="DD66" s="181"/>
      <c r="DE66" s="181"/>
      <c r="DF66" s="181"/>
      <c r="DG66" s="181"/>
      <c r="DH66" s="181"/>
      <c r="DI66" s="181"/>
      <c r="DJ66" s="181"/>
      <c r="DK66" s="181"/>
      <c r="DL66" s="181"/>
      <c r="DM66" s="181"/>
      <c r="DN66" s="181"/>
      <c r="DO66" s="181"/>
      <c r="DP66" s="181"/>
      <c r="DQ66" s="181"/>
      <c r="DR66" s="181"/>
      <c r="DS66" s="181"/>
      <c r="DT66" s="181"/>
      <c r="DU66" s="181"/>
      <c r="DV66" s="181"/>
      <c r="DW66" s="181"/>
      <c r="DX66" s="181"/>
      <c r="DY66" s="181"/>
      <c r="DZ66" s="181"/>
      <c r="EA66" s="181"/>
      <c r="EB66" s="181"/>
      <c r="EC66" s="181"/>
      <c r="ED66" s="181"/>
      <c r="EE66" s="181"/>
      <c r="EF66" s="181"/>
      <c r="EG66" s="181"/>
      <c r="EH66" s="181"/>
    </row>
    <row r="67" spans="2:138">
      <c r="D67" s="4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  <c r="DA67" s="181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/>
      <c r="DN67" s="181"/>
      <c r="DO67" s="181"/>
      <c r="DP67" s="181"/>
      <c r="DQ67" s="181"/>
      <c r="DR67" s="181"/>
      <c r="DS67" s="181"/>
      <c r="DT67" s="181"/>
      <c r="DU67" s="181"/>
      <c r="DV67" s="181"/>
      <c r="DW67" s="181"/>
      <c r="DX67" s="181"/>
      <c r="DY67" s="181"/>
      <c r="DZ67" s="181"/>
      <c r="EA67" s="181"/>
      <c r="EB67" s="181"/>
      <c r="EC67" s="181"/>
      <c r="ED67" s="181"/>
      <c r="EE67" s="181"/>
      <c r="EF67" s="181"/>
      <c r="EG67" s="181"/>
      <c r="EH67" s="181"/>
    </row>
    <row r="68" spans="2:138" ht="14.4">
      <c r="B68" s="10" t="s">
        <v>432</v>
      </c>
      <c r="D68" s="4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  <c r="DA68" s="181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/>
      <c r="DN68" s="181"/>
      <c r="DO68" s="181"/>
      <c r="DP68" s="181"/>
      <c r="DQ68" s="181"/>
      <c r="DR68" s="181"/>
      <c r="DS68" s="181"/>
      <c r="DT68" s="181"/>
      <c r="DU68" s="181"/>
      <c r="DV68" s="181"/>
      <c r="DW68" s="181"/>
      <c r="DX68" s="181"/>
      <c r="DY68" s="181"/>
      <c r="DZ68" s="181"/>
      <c r="EA68" s="181"/>
      <c r="EB68" s="181"/>
      <c r="EC68" s="181"/>
      <c r="ED68" s="181"/>
      <c r="EE68" s="181"/>
      <c r="EF68" s="181"/>
      <c r="EG68" s="181"/>
      <c r="EH68" s="181"/>
    </row>
    <row r="69" spans="2:138">
      <c r="B69" t="s">
        <v>425</v>
      </c>
      <c r="D69" s="4"/>
      <c r="F69" s="7">
        <f>E74</f>
        <v>0</v>
      </c>
      <c r="G69" s="7">
        <f t="shared" ref="G69:R69" si="64">F74</f>
        <v>0</v>
      </c>
      <c r="H69" s="7">
        <f t="shared" si="64"/>
        <v>0</v>
      </c>
      <c r="I69" s="7">
        <f t="shared" si="64"/>
        <v>0</v>
      </c>
      <c r="J69" s="7">
        <f t="shared" si="64"/>
        <v>0</v>
      </c>
      <c r="K69" s="7">
        <f t="shared" si="64"/>
        <v>0</v>
      </c>
      <c r="L69" s="7">
        <f t="shared" si="64"/>
        <v>0</v>
      </c>
      <c r="M69" s="7">
        <f t="shared" si="64"/>
        <v>0</v>
      </c>
      <c r="N69" s="7">
        <f t="shared" si="64"/>
        <v>0</v>
      </c>
      <c r="O69" s="7">
        <f t="shared" si="64"/>
        <v>0</v>
      </c>
      <c r="P69" s="7">
        <f t="shared" si="64"/>
        <v>0</v>
      </c>
      <c r="Q69" s="7">
        <f t="shared" si="64"/>
        <v>0</v>
      </c>
      <c r="R69" s="7">
        <f t="shared" ca="1" si="64"/>
        <v>346306675.45643085</v>
      </c>
      <c r="S69" s="7">
        <f t="shared" ref="S69" ca="1" si="65">R74</f>
        <v>346306675.45643085</v>
      </c>
      <c r="T69" s="7">
        <f t="shared" ref="T69" ca="1" si="66">S74</f>
        <v>346306675.45643085</v>
      </c>
      <c r="U69" s="7">
        <f t="shared" ref="U69" ca="1" si="67">T74</f>
        <v>346306675.45643085</v>
      </c>
      <c r="V69" s="7">
        <f t="shared" ref="V69" ca="1" si="68">U74</f>
        <v>346306675.45643085</v>
      </c>
      <c r="W69" s="7">
        <f t="shared" ref="W69" ca="1" si="69">V74</f>
        <v>346306675.45643085</v>
      </c>
      <c r="X69" s="7">
        <f t="shared" ref="X69" ca="1" si="70">W74</f>
        <v>346306675.45643085</v>
      </c>
      <c r="Y69" s="7">
        <f t="shared" ref="Y69" ca="1" si="71">X74</f>
        <v>346306675.45643085</v>
      </c>
      <c r="Z69" s="7">
        <f t="shared" ref="Z69" ca="1" si="72">Y74</f>
        <v>346306675.45643085</v>
      </c>
      <c r="AA69" s="7">
        <f t="shared" ref="AA69" ca="1" si="73">Z74</f>
        <v>346306675.45643085</v>
      </c>
      <c r="AB69" s="7">
        <f t="shared" ref="AB69" ca="1" si="74">AA74</f>
        <v>346306675.45643085</v>
      </c>
      <c r="AC69" s="7">
        <f t="shared" ref="AC69" ca="1" si="75">AB74</f>
        <v>346306675.45643085</v>
      </c>
      <c r="AD69" s="7">
        <f t="shared" ref="AD69" ca="1" si="76">AC74</f>
        <v>346306675.45643085</v>
      </c>
      <c r="AE69" s="7">
        <f t="shared" ref="AE69" ca="1" si="77">AD74</f>
        <v>346306675.45643085</v>
      </c>
      <c r="AF69" s="7">
        <f t="shared" ref="AF69" ca="1" si="78">AE74</f>
        <v>346306675.45643085</v>
      </c>
      <c r="AG69" s="7">
        <f t="shared" ref="AG69" ca="1" si="79">AF74</f>
        <v>346306675.45643085</v>
      </c>
      <c r="AH69" s="7">
        <f t="shared" ref="AH69" ca="1" si="80">AG74</f>
        <v>346306675.45643085</v>
      </c>
      <c r="AI69" s="7">
        <f t="shared" ref="AI69" ca="1" si="81">AH74</f>
        <v>346306675.45643085</v>
      </c>
      <c r="AJ69" s="7">
        <f t="shared" ref="AJ69" ca="1" si="82">AI74</f>
        <v>346306675.45643085</v>
      </c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1"/>
      <c r="DX69" s="181"/>
      <c r="DY69" s="181"/>
      <c r="DZ69" s="181"/>
      <c r="EA69" s="181"/>
      <c r="EB69" s="181"/>
      <c r="EC69" s="181"/>
      <c r="ED69" s="181"/>
      <c r="EE69" s="181"/>
      <c r="EF69" s="181"/>
      <c r="EG69" s="181"/>
      <c r="EH69" s="181"/>
    </row>
    <row r="70" spans="2:138">
      <c r="B70" t="s">
        <v>426</v>
      </c>
      <c r="D70" s="4"/>
      <c r="F70" s="7">
        <f>IF(F13='Phase I - Summary'!$D$24,'Phase I - Summary'!$I$50*'Phase I - Summary'!$I$49,0)</f>
        <v>0</v>
      </c>
      <c r="G70" s="7">
        <f>IF(G13='Phase I - Summary'!$D$24,'Phase I - Summary'!$I$50*'Phase I - Summary'!$I$49,0)</f>
        <v>0</v>
      </c>
      <c r="H70" s="7">
        <f>IF(H13='Phase I - Summary'!$D$24,'Phase I - Summary'!$I$50*'Phase I - Summary'!$I$49,0)</f>
        <v>0</v>
      </c>
      <c r="I70" s="7">
        <f>IF(I13='Phase I - Summary'!$D$24,'Phase I - Summary'!$I$50*'Phase I - Summary'!$I$49,0)</f>
        <v>0</v>
      </c>
      <c r="J70" s="7">
        <f>IF(J13='Phase I - Summary'!$D$24,'Phase I - Summary'!$I$50*'Phase I - Summary'!$I$49,0)</f>
        <v>0</v>
      </c>
      <c r="K70" s="7">
        <f ca="1">IF(K13='Phase I - Summary'!$D$24,'Phase I - Summary'!$I$50*'Phase I - Summary'!$I$49,0)</f>
        <v>3463066.7545643086</v>
      </c>
      <c r="L70" s="7">
        <f>IF(L13='Phase I - Summary'!$D$24,'Phase I - Summary'!$I$50*'Phase I - Summary'!$I$49,0)</f>
        <v>0</v>
      </c>
      <c r="M70" s="7">
        <f>IF(M13='Phase I - Summary'!$D$24,'Phase I - Summary'!$I$50*'Phase I - Summary'!$I$49,0)</f>
        <v>0</v>
      </c>
      <c r="N70" s="7">
        <f>IF(N13='Phase I - Summary'!$D$24,'Phase I - Summary'!$I$50*'Phase I - Summary'!$I$49,0)</f>
        <v>0</v>
      </c>
      <c r="O70" s="7">
        <f>IF(O13='Phase I - Summary'!$D$24,'Phase I - Summary'!$I$50*'Phase I - Summary'!$I$49,0)</f>
        <v>0</v>
      </c>
      <c r="P70" s="7">
        <f>IF(P13='Phase I - Summary'!$D$24,'Phase I - Summary'!$I$50*'Phase I - Summary'!$I$49,0)</f>
        <v>0</v>
      </c>
      <c r="Q70" s="7">
        <f>IF(Q13='Phase I - Summary'!$D$24,'Phase I - Summary'!$I$50*'Phase I - Summary'!$I$49,0)</f>
        <v>0</v>
      </c>
      <c r="R70" s="7">
        <f>IF(R13='Phase I - Summary'!$D$24,'Phase I - Summary'!$I$50*'Phase I - Summary'!$I$49,0)</f>
        <v>0</v>
      </c>
      <c r="S70" s="7">
        <f>IF(S13='Phase I - Summary'!$D$24,'Phase I - Summary'!$I$50*'Phase I - Summary'!$I$49,0)</f>
        <v>0</v>
      </c>
      <c r="T70" s="7">
        <f>IF(T13='Phase I - Summary'!$D$24,'Phase I - Summary'!$I$50*'Phase I - Summary'!$I$49,0)</f>
        <v>0</v>
      </c>
      <c r="U70" s="7">
        <f>IF(U13='Phase I - Summary'!$D$24,'Phase I - Summary'!$I$50*'Phase I - Summary'!$I$49,0)</f>
        <v>0</v>
      </c>
      <c r="V70" s="7">
        <f>IF(V13='Phase I - Summary'!$D$24,'Phase I - Summary'!$I$50*'Phase I - Summary'!$I$49,0)</f>
        <v>0</v>
      </c>
      <c r="W70" s="7">
        <f>IF(W13='Phase I - Summary'!$D$24,'Phase I - Summary'!$I$50*'Phase I - Summary'!$I$49,0)</f>
        <v>0</v>
      </c>
      <c r="X70" s="7">
        <f>IF(X13='Phase I - Summary'!$D$24,'Phase I - Summary'!$I$50*'Phase I - Summary'!$I$49,0)</f>
        <v>0</v>
      </c>
      <c r="Y70" s="7">
        <f>IF(Y13='Phase I - Summary'!$D$24,'Phase I - Summary'!$I$50*'Phase I - Summary'!$I$49,0)</f>
        <v>0</v>
      </c>
      <c r="Z70" s="7">
        <f>IF(Z13='Phase I - Summary'!$D$24,'Phase I - Summary'!$I$50*'Phase I - Summary'!$I$49,0)</f>
        <v>0</v>
      </c>
      <c r="AA70" s="7">
        <f>IF(AA13='Phase I - Summary'!$D$24,'Phase I - Summary'!$I$50*'Phase I - Summary'!$I$49,0)</f>
        <v>0</v>
      </c>
      <c r="AB70" s="7">
        <f>IF(AB13='Phase I - Summary'!$D$24,'Phase I - Summary'!$I$50*'Phase I - Summary'!$I$49,0)</f>
        <v>0</v>
      </c>
      <c r="AC70" s="7">
        <f>IF(AC13='Phase I - Summary'!$D$24,'Phase I - Summary'!$I$50*'Phase I - Summary'!$I$49,0)</f>
        <v>0</v>
      </c>
      <c r="AD70" s="7">
        <f>IF(AD13='Phase I - Summary'!$D$24,'Phase I - Summary'!$I$50*'Phase I - Summary'!$I$49,0)</f>
        <v>0</v>
      </c>
      <c r="AE70" s="7">
        <f>IF(AE13='Phase I - Summary'!$D$24,'Phase I - Summary'!$I$50*'Phase I - Summary'!$I$49,0)</f>
        <v>0</v>
      </c>
      <c r="AF70" s="7">
        <f>IF(AF13='Phase I - Summary'!$D$24,'Phase I - Summary'!$I$50*'Phase I - Summary'!$I$49,0)</f>
        <v>0</v>
      </c>
      <c r="AG70" s="7">
        <f>IF(AG13='Phase I - Summary'!$D$24,'Phase I - Summary'!$I$50*'Phase I - Summary'!$I$49,0)</f>
        <v>0</v>
      </c>
      <c r="AH70" s="7">
        <f>IF(AH13='Phase I - Summary'!$D$24,'Phase I - Summary'!$I$50*'Phase I - Summary'!$I$49,0)</f>
        <v>0</v>
      </c>
      <c r="AI70" s="7">
        <f>IF(AI13='Phase I - Summary'!$D$24,'Phase I - Summary'!$I$50*'Phase I - Summary'!$I$49,0)</f>
        <v>0</v>
      </c>
      <c r="AJ70" s="7">
        <f>IF(AJ13='Phase I - Summary'!$D$24,'Phase I - Summary'!$I$50*'Phase I - Summary'!$I$49,0)</f>
        <v>0</v>
      </c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1"/>
      <c r="DX70" s="181"/>
      <c r="DY70" s="181"/>
      <c r="DZ70" s="181"/>
      <c r="EA70" s="181"/>
      <c r="EB70" s="181"/>
      <c r="EC70" s="181"/>
      <c r="ED70" s="181"/>
      <c r="EE70" s="181"/>
      <c r="EF70" s="181"/>
      <c r="EG70" s="181"/>
      <c r="EH70" s="181"/>
    </row>
    <row r="71" spans="2:138">
      <c r="B71" t="s">
        <v>427</v>
      </c>
      <c r="D71" s="4"/>
      <c r="F71" s="7">
        <f>IF(F13='Phase I - Summary'!$I$45,'Phase I - Summary'!$I$49,0)</f>
        <v>0</v>
      </c>
      <c r="G71" s="7">
        <f>IF(G13='Phase I - Summary'!$I$45,'Phase I - Summary'!$I$49,0)</f>
        <v>0</v>
      </c>
      <c r="H71" s="7">
        <f>IF(H13='Phase I - Summary'!$I$45,'Phase I - Summary'!$I$49,0)</f>
        <v>0</v>
      </c>
      <c r="I71" s="7">
        <f>IF(I13='Phase I - Summary'!$I$45,'Phase I - Summary'!$I$49,0)</f>
        <v>0</v>
      </c>
      <c r="J71" s="7">
        <f>IF(J13='Phase I - Summary'!$I$45,'Phase I - Summary'!$I$49,0)</f>
        <v>0</v>
      </c>
      <c r="K71" s="7">
        <f>IF(K13='Phase I - Summary'!$I$45,'Phase I - Summary'!$I$49,0)</f>
        <v>0</v>
      </c>
      <c r="L71" s="7">
        <f>IF(L13='Phase I - Summary'!$I$45,'Phase I - Summary'!$I$49,0)</f>
        <v>0</v>
      </c>
      <c r="M71" s="7">
        <f>IF(M13='Phase I - Summary'!$I$45,'Phase I - Summary'!$I$49,0)</f>
        <v>0</v>
      </c>
      <c r="N71" s="7">
        <f>IF(N13='Phase I - Summary'!$I$45,'Phase I - Summary'!$I$49,0)</f>
        <v>0</v>
      </c>
      <c r="O71" s="7">
        <f>IF(O13='Phase I - Summary'!$I$45,'Phase I - Summary'!$I$49,0)</f>
        <v>0</v>
      </c>
      <c r="P71" s="7">
        <f>IF(P13='Phase I - Summary'!$I$45,'Phase I - Summary'!$I$49,0)</f>
        <v>0</v>
      </c>
      <c r="Q71" s="7">
        <f ca="1">IF(Q13='Phase I - Summary'!$I$45,'Phase I - Summary'!$I$49,0)</f>
        <v>346306675.45643085</v>
      </c>
      <c r="R71" s="7">
        <f>IF(R13='Phase I - Summary'!$I$45,'Phase I - Summary'!$I$49,0)</f>
        <v>0</v>
      </c>
      <c r="S71" s="7">
        <f>IF(S13='Phase I - Summary'!$I$45,'Phase I - Summary'!$I$49,0)</f>
        <v>0</v>
      </c>
      <c r="T71" s="7">
        <f>IF(T13='Phase I - Summary'!$I$45,'Phase I - Summary'!$I$49,0)</f>
        <v>0</v>
      </c>
      <c r="U71" s="7">
        <f>IF(U13='Phase I - Summary'!$I$45,'Phase I - Summary'!$I$49,0)</f>
        <v>0</v>
      </c>
      <c r="V71" s="7">
        <f>IF(V13='Phase I - Summary'!$I$45,'Phase I - Summary'!$I$49,0)</f>
        <v>0</v>
      </c>
      <c r="W71" s="7">
        <f>IF(W13='Phase I - Summary'!$I$45,'Phase I - Summary'!$I$49,0)</f>
        <v>0</v>
      </c>
      <c r="X71" s="7">
        <f>IF(X13='Phase I - Summary'!$I$45,'Phase I - Summary'!$I$49,0)</f>
        <v>0</v>
      </c>
      <c r="Y71" s="7">
        <f>IF(Y13='Phase I - Summary'!$I$45,'Phase I - Summary'!$I$49,0)</f>
        <v>0</v>
      </c>
      <c r="Z71" s="7">
        <f>IF(Z13='Phase I - Summary'!$I$45,'Phase I - Summary'!$I$49,0)</f>
        <v>0</v>
      </c>
      <c r="AA71" s="7">
        <f>IF(AA13='Phase I - Summary'!$I$45,'Phase I - Summary'!$I$49,0)</f>
        <v>0</v>
      </c>
      <c r="AB71" s="7">
        <f>IF(AB13='Phase I - Summary'!$I$45,'Phase I - Summary'!$I$49,0)</f>
        <v>0</v>
      </c>
      <c r="AC71" s="7">
        <f>IF(AC13='Phase I - Summary'!$I$45,'Phase I - Summary'!$I$49,0)</f>
        <v>0</v>
      </c>
      <c r="AD71" s="7">
        <f>IF(AD13='Phase I - Summary'!$I$45,'Phase I - Summary'!$I$49,0)</f>
        <v>0</v>
      </c>
      <c r="AE71" s="7">
        <f>IF(AE13='Phase I - Summary'!$I$45,'Phase I - Summary'!$I$49,0)</f>
        <v>0</v>
      </c>
      <c r="AF71" s="7">
        <f>IF(AF13='Phase I - Summary'!$I$45,'Phase I - Summary'!$I$49,0)</f>
        <v>0</v>
      </c>
      <c r="AG71" s="7">
        <f>IF(AG13='Phase I - Summary'!$I$45,'Phase I - Summary'!$I$49,0)</f>
        <v>0</v>
      </c>
      <c r="AH71" s="7">
        <f>IF(AH13='Phase I - Summary'!$I$45,'Phase I - Summary'!$I$49,0)</f>
        <v>0</v>
      </c>
      <c r="AI71" s="7">
        <f>IF(AI13='Phase I - Summary'!$I$45,'Phase I - Summary'!$I$49,0)</f>
        <v>0</v>
      </c>
      <c r="AJ71" s="7">
        <f>IF(AJ13='Phase I - Summary'!$I$45,'Phase I - Summary'!$I$49,0)</f>
        <v>0</v>
      </c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</row>
    <row r="72" spans="2:138">
      <c r="B72" t="s">
        <v>428</v>
      </c>
      <c r="D72" s="4"/>
      <c r="F72" s="7">
        <f>F69*'Phase I - Summary'!$I$41</f>
        <v>0</v>
      </c>
      <c r="G72" s="7">
        <f>G69*'Phase I - Summary'!$I$41</f>
        <v>0</v>
      </c>
      <c r="H72" s="7">
        <f>H69*'Phase I - Summary'!$I$41</f>
        <v>0</v>
      </c>
      <c r="I72" s="7">
        <f>I69*'Phase I - Summary'!$I$41</f>
        <v>0</v>
      </c>
      <c r="J72" s="7">
        <f>J69*'Phase I - Summary'!$I$41</f>
        <v>0</v>
      </c>
      <c r="K72" s="7">
        <f>K69*'Phase I - Summary'!$I$41</f>
        <v>0</v>
      </c>
      <c r="L72" s="7">
        <f>L69*'Phase I - Summary'!$I$41</f>
        <v>0</v>
      </c>
      <c r="M72" s="7">
        <f>M69*'Phase I - Summary'!$I$41</f>
        <v>0</v>
      </c>
      <c r="N72" s="7">
        <f>N69*'Phase I - Summary'!$I$41</f>
        <v>0</v>
      </c>
      <c r="O72" s="7">
        <f>O69*'Phase I - Summary'!$I$41</f>
        <v>0</v>
      </c>
      <c r="P72" s="7">
        <f>P69*'Phase I - Summary'!$I$41</f>
        <v>0</v>
      </c>
      <c r="Q72" s="7">
        <f>Q69*'Phase I - Summary'!$I$41</f>
        <v>0</v>
      </c>
      <c r="R72" s="7">
        <f ca="1">R69*'Phase I - Summary'!$I$41</f>
        <v>15583800.395539388</v>
      </c>
      <c r="S72" s="7">
        <f ca="1">S69*'Phase I - Summary'!$I$41</f>
        <v>15583800.395539388</v>
      </c>
      <c r="T72" s="7">
        <f ca="1">T69*'Phase I - Summary'!$I$41</f>
        <v>15583800.395539388</v>
      </c>
      <c r="U72" s="7">
        <f ca="1">U69*'Phase I - Summary'!$I$41</f>
        <v>15583800.395539388</v>
      </c>
      <c r="V72" s="7">
        <f ca="1">V69*'Phase I - Summary'!$I$41</f>
        <v>15583800.395539388</v>
      </c>
      <c r="W72" s="7">
        <f ca="1">W69*'Phase I - Summary'!$I$41</f>
        <v>15583800.395539388</v>
      </c>
      <c r="X72" s="7">
        <f ca="1">X69*'Phase I - Summary'!$I$41</f>
        <v>15583800.395539388</v>
      </c>
      <c r="Y72" s="7">
        <f ca="1">Y69*'Phase I - Summary'!$I$41</f>
        <v>15583800.395539388</v>
      </c>
      <c r="Z72" s="7">
        <f ca="1">Z69*'Phase I - Summary'!$I$41</f>
        <v>15583800.395539388</v>
      </c>
      <c r="AA72" s="7">
        <f ca="1">AA69*'Phase I - Summary'!$I$41</f>
        <v>15583800.395539388</v>
      </c>
      <c r="AB72" s="7">
        <f ca="1">AB69*'Phase I - Summary'!$I$41</f>
        <v>15583800.395539388</v>
      </c>
      <c r="AC72" s="7">
        <f ca="1">AC69*'Phase I - Summary'!$I$41</f>
        <v>15583800.395539388</v>
      </c>
      <c r="AD72" s="7">
        <f ca="1">AD69*'Phase I - Summary'!$I$41</f>
        <v>15583800.395539388</v>
      </c>
      <c r="AE72" s="7">
        <f ca="1">AE69*'Phase I - Summary'!$I$41</f>
        <v>15583800.395539388</v>
      </c>
      <c r="AF72" s="7">
        <f ca="1">AF69*'Phase I - Summary'!$I$41</f>
        <v>15583800.395539388</v>
      </c>
      <c r="AG72" s="7">
        <f ca="1">AG69*'Phase I - Summary'!$I$41</f>
        <v>15583800.395539388</v>
      </c>
      <c r="AH72" s="7">
        <f ca="1">AH69*'Phase I - Summary'!$I$41</f>
        <v>15583800.395539388</v>
      </c>
      <c r="AI72" s="7">
        <f ca="1">AI69*'Phase I - Summary'!$I$41</f>
        <v>15583800.395539388</v>
      </c>
      <c r="AJ72" s="7">
        <f ca="1">AJ69*'Phase I - Summary'!$I$41</f>
        <v>15583800.395539388</v>
      </c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1"/>
      <c r="DX72" s="181"/>
      <c r="DY72" s="181"/>
      <c r="DZ72" s="181"/>
      <c r="EA72" s="181"/>
      <c r="EB72" s="181"/>
      <c r="EC72" s="181"/>
      <c r="ED72" s="181"/>
      <c r="EE72" s="181"/>
      <c r="EF72" s="181"/>
      <c r="EG72" s="181"/>
      <c r="EH72" s="181"/>
    </row>
    <row r="73" spans="2:138">
      <c r="B73" t="s">
        <v>429</v>
      </c>
      <c r="D73" s="4"/>
      <c r="F73" s="7">
        <f>IF(F13='Phase I - Summary'!$I$46,'Phase I - Pro Forma'!F69,0)</f>
        <v>0</v>
      </c>
      <c r="G73" s="7">
        <f>IF(G13='Phase I - Summary'!$I$46,'Phase I - Pro Forma'!G69,0)</f>
        <v>0</v>
      </c>
      <c r="H73" s="7">
        <f>IF(H13='Phase I - Summary'!$I$46,'Phase I - Pro Forma'!H69,0)</f>
        <v>0</v>
      </c>
      <c r="I73" s="7">
        <f>IF(I13='Phase I - Summary'!$I$46,'Phase I - Pro Forma'!I69,0)</f>
        <v>0</v>
      </c>
      <c r="J73" s="7">
        <f>IF(J13='Phase I - Summary'!$I$46,'Phase I - Pro Forma'!J69,0)</f>
        <v>0</v>
      </c>
      <c r="K73" s="7">
        <f>IF(K13='Phase I - Summary'!$I$46,'Phase I - Pro Forma'!K69,0)</f>
        <v>0</v>
      </c>
      <c r="L73" s="7">
        <f>IF(L13='Phase I - Summary'!$I$46,'Phase I - Pro Forma'!L69,0)</f>
        <v>0</v>
      </c>
      <c r="M73" s="7">
        <f>IF(M13='Phase I - Summary'!$I$46,'Phase I - Pro Forma'!M69,0)</f>
        <v>0</v>
      </c>
      <c r="N73" s="7">
        <f>IF(N13='Phase I - Summary'!$I$46,'Phase I - Pro Forma'!N69,0)</f>
        <v>0</v>
      </c>
      <c r="O73" s="7">
        <f>IF(O13='Phase I - Summary'!$I$46,'Phase I - Pro Forma'!O69,0)</f>
        <v>0</v>
      </c>
      <c r="P73" s="7">
        <f>IF(P13='Phase I - Summary'!$I$46,'Phase I - Pro Forma'!P69,0)</f>
        <v>0</v>
      </c>
      <c r="Q73" s="7">
        <f>IF(Q13='Phase I - Summary'!$I$46,'Phase I - Pro Forma'!Q69,0)</f>
        <v>0</v>
      </c>
      <c r="R73" s="7">
        <f>IF(R13='Phase I - Summary'!$I$46,'Phase I - Pro Forma'!R69,0)</f>
        <v>0</v>
      </c>
      <c r="S73" s="7">
        <f>IF(S13='Phase I - Summary'!$I$46,'Phase I - Pro Forma'!S69,0)</f>
        <v>0</v>
      </c>
      <c r="T73" s="7">
        <f>IF(T13='Phase I - Summary'!$I$46,'Phase I - Pro Forma'!T69,0)</f>
        <v>0</v>
      </c>
      <c r="U73" s="7">
        <f>IF(U13='Phase I - Summary'!$I$46,'Phase I - Pro Forma'!U69,0)</f>
        <v>0</v>
      </c>
      <c r="V73" s="7">
        <f>IF(V13='Phase I - Summary'!$I$46,'Phase I - Pro Forma'!V69,0)</f>
        <v>0</v>
      </c>
      <c r="W73" s="7">
        <f>IF(W13='Phase I - Summary'!$I$46,'Phase I - Pro Forma'!W69,0)</f>
        <v>0</v>
      </c>
      <c r="X73" s="7">
        <f>IF(X13='Phase I - Summary'!$I$46,'Phase I - Pro Forma'!X69,0)</f>
        <v>0</v>
      </c>
      <c r="Y73" s="7">
        <f>IF(Y13='Phase I - Summary'!$I$46,'Phase I - Pro Forma'!Y69,0)</f>
        <v>0</v>
      </c>
      <c r="Z73" s="7">
        <f>IF(Z13='Phase I - Summary'!$I$46,'Phase I - Pro Forma'!Z69,0)</f>
        <v>0</v>
      </c>
      <c r="AA73" s="7">
        <f>IF(AA13='Phase I - Summary'!$I$46,'Phase I - Pro Forma'!AA69,0)</f>
        <v>0</v>
      </c>
      <c r="AB73" s="7">
        <f>IF(AB13='Phase I - Summary'!$I$46,'Phase I - Pro Forma'!AB69,0)</f>
        <v>0</v>
      </c>
      <c r="AC73" s="7">
        <f>IF(AC13='Phase I - Summary'!$I$46,'Phase I - Pro Forma'!AC69,0)</f>
        <v>0</v>
      </c>
      <c r="AD73" s="7">
        <f>IF(AD13='Phase I - Summary'!$I$46,'Phase I - Pro Forma'!AD69,0)</f>
        <v>0</v>
      </c>
      <c r="AE73" s="7">
        <f>IF(AE13='Phase I - Summary'!$I$46,'Phase I - Pro Forma'!AE69,0)</f>
        <v>0</v>
      </c>
      <c r="AF73" s="7">
        <f>IF(AF13='Phase I - Summary'!$I$46,'Phase I - Pro Forma'!AF69,0)</f>
        <v>0</v>
      </c>
      <c r="AG73" s="7">
        <f>IF(AG13='Phase I - Summary'!$I$46,'Phase I - Pro Forma'!AG69,0)</f>
        <v>0</v>
      </c>
      <c r="AH73" s="7">
        <f>IF(AH13='Phase I - Summary'!$I$46,'Phase I - Pro Forma'!AH69,0)</f>
        <v>0</v>
      </c>
      <c r="AI73" s="7">
        <f>IF(AI13='Phase I - Summary'!$I$46,'Phase I - Pro Forma'!AI69,0)</f>
        <v>0</v>
      </c>
      <c r="AJ73" s="7">
        <f>IF(AJ13='Phase I - Summary'!$I$46,'Phase I - Pro Forma'!AJ69,0)</f>
        <v>0</v>
      </c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  <c r="DA73" s="181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/>
      <c r="DN73" s="181"/>
      <c r="DO73" s="181"/>
      <c r="DP73" s="181"/>
      <c r="DQ73" s="181"/>
      <c r="DR73" s="181"/>
      <c r="DS73" s="181"/>
      <c r="DT73" s="181"/>
      <c r="DU73" s="181"/>
      <c r="DV73" s="181"/>
      <c r="DW73" s="181"/>
      <c r="DX73" s="181"/>
      <c r="DY73" s="181"/>
      <c r="DZ73" s="181"/>
      <c r="EA73" s="181"/>
      <c r="EB73" s="181"/>
      <c r="EC73" s="181"/>
      <c r="ED73" s="181"/>
      <c r="EE73" s="181"/>
      <c r="EF73" s="181"/>
      <c r="EG73" s="181"/>
      <c r="EH73" s="181"/>
    </row>
    <row r="74" spans="2:138">
      <c r="B74" t="s">
        <v>430</v>
      </c>
      <c r="D74" s="4"/>
      <c r="F74" s="7">
        <f>F69+F71-F73-F72</f>
        <v>0</v>
      </c>
      <c r="G74" s="7">
        <f t="shared" ref="G74:R74" si="83">G69+G71-G73</f>
        <v>0</v>
      </c>
      <c r="H74" s="7">
        <f t="shared" si="83"/>
        <v>0</v>
      </c>
      <c r="I74" s="7">
        <f t="shared" si="83"/>
        <v>0</v>
      </c>
      <c r="J74" s="7">
        <f t="shared" si="83"/>
        <v>0</v>
      </c>
      <c r="K74" s="7">
        <f t="shared" si="83"/>
        <v>0</v>
      </c>
      <c r="L74" s="7">
        <f t="shared" si="83"/>
        <v>0</v>
      </c>
      <c r="M74" s="7">
        <f t="shared" si="83"/>
        <v>0</v>
      </c>
      <c r="N74" s="7">
        <f t="shared" si="83"/>
        <v>0</v>
      </c>
      <c r="O74" s="7">
        <f t="shared" si="83"/>
        <v>0</v>
      </c>
      <c r="P74" s="7">
        <f t="shared" si="83"/>
        <v>0</v>
      </c>
      <c r="Q74" s="7">
        <f t="shared" ca="1" si="83"/>
        <v>346306675.45643085</v>
      </c>
      <c r="R74" s="7">
        <f t="shared" ca="1" si="83"/>
        <v>346306675.45643085</v>
      </c>
      <c r="S74" s="7">
        <f t="shared" ref="S74:AD74" ca="1" si="84">S69+S71-S73</f>
        <v>346306675.45643085</v>
      </c>
      <c r="T74" s="7">
        <f t="shared" ca="1" si="84"/>
        <v>346306675.45643085</v>
      </c>
      <c r="U74" s="7">
        <f t="shared" ca="1" si="84"/>
        <v>346306675.45643085</v>
      </c>
      <c r="V74" s="7">
        <f t="shared" ca="1" si="84"/>
        <v>346306675.45643085</v>
      </c>
      <c r="W74" s="7">
        <f t="shared" ca="1" si="84"/>
        <v>346306675.45643085</v>
      </c>
      <c r="X74" s="7">
        <f t="shared" ca="1" si="84"/>
        <v>346306675.45643085</v>
      </c>
      <c r="Y74" s="7">
        <f t="shared" ca="1" si="84"/>
        <v>346306675.45643085</v>
      </c>
      <c r="Z74" s="7">
        <f t="shared" ca="1" si="84"/>
        <v>346306675.45643085</v>
      </c>
      <c r="AA74" s="7">
        <f ca="1">AA69+AA71-AA73</f>
        <v>346306675.45643085</v>
      </c>
      <c r="AB74" s="7">
        <f t="shared" ca="1" si="84"/>
        <v>346306675.45643085</v>
      </c>
      <c r="AC74" s="7">
        <f t="shared" ca="1" si="84"/>
        <v>346306675.45643085</v>
      </c>
      <c r="AD74" s="7">
        <f t="shared" ca="1" si="84"/>
        <v>346306675.45643085</v>
      </c>
      <c r="AE74" s="7">
        <f t="shared" ref="AE74:AJ74" ca="1" si="85">AE69+AE71-AE73</f>
        <v>346306675.45643085</v>
      </c>
      <c r="AF74" s="7">
        <f t="shared" ca="1" si="85"/>
        <v>346306675.45643085</v>
      </c>
      <c r="AG74" s="7">
        <f t="shared" ca="1" si="85"/>
        <v>346306675.45643085</v>
      </c>
      <c r="AH74" s="7">
        <f t="shared" ca="1" si="85"/>
        <v>346306675.45643085</v>
      </c>
      <c r="AI74" s="7">
        <f t="shared" ca="1" si="85"/>
        <v>346306675.45643085</v>
      </c>
      <c r="AJ74" s="7">
        <f t="shared" ca="1" si="85"/>
        <v>346306675.45643085</v>
      </c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  <c r="DA74" s="181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/>
      <c r="DN74" s="181"/>
      <c r="DO74" s="181"/>
      <c r="DP74" s="181"/>
      <c r="DQ74" s="181"/>
      <c r="DR74" s="181"/>
      <c r="DS74" s="181"/>
      <c r="DT74" s="181"/>
      <c r="DU74" s="181"/>
      <c r="DV74" s="181"/>
      <c r="DW74" s="181"/>
      <c r="DX74" s="181"/>
      <c r="DY74" s="181"/>
      <c r="DZ74" s="181"/>
      <c r="EA74" s="181"/>
      <c r="EB74" s="181"/>
      <c r="EC74" s="181"/>
      <c r="ED74" s="181"/>
      <c r="EE74" s="181"/>
      <c r="EF74" s="181"/>
      <c r="EG74" s="181"/>
      <c r="EH74" s="181"/>
    </row>
    <row r="75" spans="2:138">
      <c r="D75" s="4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1"/>
      <c r="DX75" s="181"/>
      <c r="DY75" s="181"/>
      <c r="DZ75" s="181"/>
      <c r="EA75" s="181"/>
      <c r="EB75" s="181"/>
      <c r="EC75" s="181"/>
      <c r="ED75" s="181"/>
      <c r="EE75" s="181"/>
      <c r="EF75" s="181"/>
      <c r="EG75" s="181"/>
      <c r="EH75" s="181"/>
    </row>
    <row r="76" spans="2:138" ht="13.8" thickBot="1">
      <c r="B76" t="s">
        <v>433</v>
      </c>
      <c r="D76" s="21">
        <f ca="1">SUM(F76:AJ76)</f>
        <v>598960587.4736973</v>
      </c>
      <c r="F76" s="7">
        <f ca="1">IF(F13&lt;='Phase I - Summary'!$I$46,-F53+F66+F71-F70-F72-F73,0)</f>
        <v>-44629803</v>
      </c>
      <c r="G76" s="7">
        <f ca="1">IF(G13&lt;='Phase I - Summary'!$I$46,-G53+G66+G71-G70-G72-G73,0)</f>
        <v>0</v>
      </c>
      <c r="H76" s="7">
        <f ca="1">IF(H13&lt;='Phase I - Summary'!$I$46,-H53+H66+H71-H70-H72-H73,0)</f>
        <v>-10167556.843583971</v>
      </c>
      <c r="I76" s="7">
        <f ca="1">IF(I13&lt;='Phase I - Summary'!$I$46,-I53+I66+I71-I70-I72-I73,0)</f>
        <v>0</v>
      </c>
      <c r="J76" s="7">
        <f ca="1">IF(J13&lt;='Phase I - Summary'!$I$46,-J53+J66+J71-J70-J72-J73,0)</f>
        <v>0</v>
      </c>
      <c r="K76" s="7">
        <f ca="1">IF(K13&lt;='Phase I - Summary'!$I$46,-K53+K66+K71-K70-K72-K73,0)</f>
        <v>-221859849.43217051</v>
      </c>
      <c r="L76" s="7">
        <f ca="1">IF(L13&lt;='Phase I - Summary'!$I$46,-L53+L66+L71-L70-L72-L73,0)</f>
        <v>19394798.637220353</v>
      </c>
      <c r="M76" s="7">
        <f ca="1">IF(M13&lt;='Phase I - Summary'!$I$46,-M53+M66+M71-M70-M72-M73,0)</f>
        <v>19940182.977748509</v>
      </c>
      <c r="N76" s="7">
        <f ca="1">IF(N13&lt;='Phase I - Summary'!$I$46,-N53+N66+N71-N70-N72-N73,0)</f>
        <v>20499380.142000385</v>
      </c>
      <c r="O76" s="7">
        <f ca="1">IF(O13&lt;='Phase I - Summary'!$I$46,-O53+O66+O71-O70-O72-O73,0)</f>
        <v>21072662.149416123</v>
      </c>
      <c r="P76" s="7">
        <f ca="1">IF(P13&lt;='Phase I - Summary'!$I$46,-P53+P66+P71-P70-P72-P73,0)</f>
        <v>21660301.73564332</v>
      </c>
      <c r="Q76" s="7">
        <f ca="1">IF(Q13&lt;='Phase I - Summary'!$I$46,-Q53+Q66+Q71-Q70-Q72-Q73,0)</f>
        <v>773050471.10742307</v>
      </c>
      <c r="R76" s="7">
        <f>IF(R13&lt;='Phase I - Summary'!$I$46,-R53+R66+R71-R70-R72-R73,0)</f>
        <v>0</v>
      </c>
      <c r="S76" s="7">
        <f>IF(S13&lt;='Phase I - Summary'!$I$46,-S53+S66+S71-S70-S72-S73,0)</f>
        <v>0</v>
      </c>
      <c r="T76" s="7">
        <f>IF(T13&lt;='Phase I - Summary'!$I$46,-T53+T66+T71-T70-T72-T73,0)</f>
        <v>0</v>
      </c>
      <c r="U76" s="7">
        <f>IF(U13&lt;='Phase I - Summary'!$I$46,-U53+U66+U71-U70-U72-U73,0)</f>
        <v>0</v>
      </c>
      <c r="V76" s="7">
        <f>IF(V13&lt;='Phase I - Summary'!$I$46,-V53+V66+V71-V70-V72-V73,0)</f>
        <v>0</v>
      </c>
      <c r="W76" s="7">
        <f>IF(W13&lt;='Phase I - Summary'!$I$46,-W53+W66+W71-W70-W72-W73,0)</f>
        <v>0</v>
      </c>
      <c r="X76" s="7">
        <f>IF(X13&lt;='Phase I - Summary'!$I$46,-X53+X66+X71-X70-X72-X73,0)</f>
        <v>0</v>
      </c>
      <c r="Y76" s="7">
        <f>IF(Y13&lt;='Phase I - Summary'!$I$46,-Y53+Y66+Y71-Y70-Y72-Y73,0)</f>
        <v>0</v>
      </c>
      <c r="Z76" s="7">
        <f>IF(Z13&lt;='Phase I - Summary'!$I$46,-Z53+Z66+Z71-Z70-Z72-Z73,0)</f>
        <v>0</v>
      </c>
      <c r="AA76" s="7">
        <f>IF(AA13&lt;='Phase I - Summary'!$I$46,-AA53+AA66+AA71-AA70-AA72-AA73,0)</f>
        <v>0</v>
      </c>
      <c r="AB76" s="7">
        <f>IF(AB13&lt;='Phase I - Summary'!$I$46,-AB53+AB66+AB71-AB70-AB72-AB73,0)</f>
        <v>0</v>
      </c>
      <c r="AC76" s="7">
        <f>IF(AC13&lt;='Phase I - Summary'!$I$46,-AC53+AC66+AC71-AC70-AC72-AC73,0)</f>
        <v>0</v>
      </c>
      <c r="AD76" s="7">
        <f>IF(AD13&lt;='Phase I - Summary'!$I$46,-AD53+AD66+AD71-AD70-AD72-AD73,0)</f>
        <v>0</v>
      </c>
      <c r="AE76" s="7">
        <f>IF(AE13&lt;='Phase I - Summary'!$I$46,-AE53+AE66+AE71-AE70-AE72-AE73,0)</f>
        <v>0</v>
      </c>
      <c r="AF76" s="7">
        <f>IF(AF13&lt;='Phase I - Summary'!$I$46,-AF53+AF66+AF71-AF70-AF72-AF73,0)</f>
        <v>0</v>
      </c>
      <c r="AG76" s="7">
        <f>IF(AG13&lt;='Phase I - Summary'!$I$46,-AG53+AG66+AG71-AG70-AG72-AG73,0)</f>
        <v>0</v>
      </c>
      <c r="AH76" s="7">
        <f>IF(AH13&lt;='Phase I - Summary'!$I$46,-AH53+AH66+AH71-AH70-AH72-AH73,0)</f>
        <v>0</v>
      </c>
      <c r="AI76" s="7">
        <f>IF(AI13&lt;='Phase I - Summary'!$I$46,-AI53+AI66+AI71-AI70-AI72-AI73,0)</f>
        <v>0</v>
      </c>
      <c r="AJ76" s="7">
        <f>IF(AJ13&lt;='Phase I - Summary'!$I$46,-AJ53+AJ66+AJ71-AJ70-AJ72-AJ73,0)</f>
        <v>0</v>
      </c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  <c r="CY76" s="181"/>
      <c r="CZ76" s="181"/>
      <c r="DA76" s="181"/>
      <c r="DB76" s="181"/>
      <c r="DC76" s="181"/>
      <c r="DD76" s="181"/>
      <c r="DE76" s="181"/>
      <c r="DF76" s="181"/>
      <c r="DG76" s="181"/>
      <c r="DH76" s="181"/>
      <c r="DI76" s="181"/>
      <c r="DJ76" s="181"/>
      <c r="DK76" s="181"/>
      <c r="DL76" s="181"/>
      <c r="DM76" s="181"/>
      <c r="DN76" s="181"/>
      <c r="DO76" s="181"/>
      <c r="DP76" s="181"/>
      <c r="DQ76" s="181"/>
      <c r="DR76" s="181"/>
      <c r="DS76" s="181"/>
      <c r="DT76" s="181"/>
      <c r="DU76" s="181"/>
      <c r="DV76" s="181"/>
      <c r="DW76" s="181"/>
      <c r="DX76" s="181"/>
      <c r="DY76" s="181"/>
      <c r="DZ76" s="181"/>
      <c r="EA76" s="181"/>
      <c r="EB76" s="181"/>
      <c r="EC76" s="181"/>
      <c r="ED76" s="181"/>
      <c r="EE76" s="181"/>
      <c r="EF76" s="181"/>
      <c r="EG76" s="181"/>
      <c r="EH76" s="181"/>
    </row>
    <row r="77" spans="2:138" ht="14.4">
      <c r="B77" s="26" t="s">
        <v>434</v>
      </c>
      <c r="C77" s="27"/>
      <c r="D77" s="28">
        <f ca="1">IRR(F76:AJ76)</f>
        <v>0.18449526440794406</v>
      </c>
    </row>
    <row r="78" spans="2:138" ht="15" thickBot="1">
      <c r="B78" s="29" t="s">
        <v>435</v>
      </c>
      <c r="C78" s="30"/>
      <c r="D78" s="31">
        <f ca="1">-SUMIF(F76:DV76,"&gt;0")/SUMIF(F76:DV76,"&lt;0")</f>
        <v>3.1649917927014553</v>
      </c>
    </row>
  </sheetData>
  <printOptions horizontalCentered="1"/>
  <pageMargins left="0.7" right="0.7" top="0.75" bottom="0.75" header="0.3" footer="0.3"/>
  <pageSetup paperSize="3" scale="70" fitToWidth="0" orientation="landscape" r:id="rId1"/>
  <headerFooter>
    <oddHeader xml:space="preserve">&amp;L2019 ULI Hines Student Competition&amp;R2019-331 &amp;A </oddHeader>
  </headerFooter>
  <colBreaks count="1" manualBreakCount="1">
    <brk id="17" min="1" max="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4C111-19CE-4AE5-B713-7822EEDCD856}">
  <sheetPr>
    <tabColor rgb="FF002060"/>
  </sheetPr>
  <dimension ref="A8:AK88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63" customWidth="1"/>
    <col min="4" max="4" width="6.44140625" style="63" bestFit="1" customWidth="1"/>
    <col min="5" max="5" width="12.44140625" style="63"/>
    <col min="6" max="6" width="16.77734375" style="63" bestFit="1" customWidth="1"/>
    <col min="7" max="7" width="17.44140625" style="63" bestFit="1" customWidth="1"/>
    <col min="8" max="18" width="14.6640625" style="63" bestFit="1" customWidth="1"/>
    <col min="19" max="19" width="15.21875" style="63" bestFit="1" customWidth="1"/>
    <col min="20" max="20" width="12.77734375" style="63" bestFit="1" customWidth="1"/>
    <col min="21" max="16384" width="12.44140625" style="63"/>
  </cols>
  <sheetData>
    <row r="8" spans="1:19">
      <c r="B8" s="445" t="s">
        <v>762</v>
      </c>
    </row>
    <row r="9" spans="1:19">
      <c r="B9" s="446" t="s">
        <v>766</v>
      </c>
    </row>
    <row r="11" spans="1:19">
      <c r="A11" s="63" t="s">
        <v>472</v>
      </c>
      <c r="B11" s="64" t="s">
        <v>473</v>
      </c>
      <c r="C11" s="64"/>
      <c r="D11" s="64"/>
      <c r="E11" s="64"/>
      <c r="F11" s="64"/>
      <c r="G11" s="64"/>
      <c r="I11" s="64" t="s">
        <v>474</v>
      </c>
      <c r="J11" s="64"/>
      <c r="K11" s="64"/>
      <c r="L11" s="64"/>
      <c r="M11" s="64"/>
      <c r="O11" s="64" t="s">
        <v>475</v>
      </c>
      <c r="P11" s="64"/>
      <c r="Q11" s="64"/>
      <c r="R11" s="64"/>
    </row>
    <row r="12" spans="1:19">
      <c r="B12" s="63" t="s">
        <v>476</v>
      </c>
      <c r="G12" s="174">
        <f ca="1">ROUNDDOWN(G15/G16,0)</f>
        <v>411</v>
      </c>
      <c r="I12" s="66" t="s">
        <v>477</v>
      </c>
      <c r="O12" s="63" t="s">
        <v>478</v>
      </c>
      <c r="R12" s="67">
        <f ca="1">MAX(G27:G29)</f>
        <v>83805492.881311312</v>
      </c>
    </row>
    <row r="13" spans="1:19">
      <c r="B13" s="63" t="s">
        <v>479</v>
      </c>
      <c r="F13" s="68"/>
      <c r="G13" s="108">
        <f ca="1">'Area Matrix'!D19</f>
        <v>483996.24323076924</v>
      </c>
      <c r="I13" s="63" t="s">
        <v>480</v>
      </c>
      <c r="M13" s="571">
        <v>1400</v>
      </c>
      <c r="O13" s="63" t="s">
        <v>460</v>
      </c>
      <c r="R13" s="70">
        <v>5.6000000000000001E-2</v>
      </c>
    </row>
    <row r="14" spans="1:19">
      <c r="B14" s="63" t="s">
        <v>625</v>
      </c>
      <c r="G14" s="173">
        <v>0.85</v>
      </c>
      <c r="I14" s="63" t="s">
        <v>481</v>
      </c>
      <c r="M14" s="571">
        <v>1500</v>
      </c>
      <c r="O14" s="63" t="s">
        <v>482</v>
      </c>
      <c r="R14" s="71">
        <v>20</v>
      </c>
    </row>
    <row r="15" spans="1:19">
      <c r="B15" s="63" t="s">
        <v>557</v>
      </c>
      <c r="G15" s="172">
        <f ca="1">G13*G14</f>
        <v>411396.80674615386</v>
      </c>
      <c r="I15" s="63" t="s">
        <v>484</v>
      </c>
      <c r="M15" s="571">
        <v>1700</v>
      </c>
      <c r="O15" s="63" t="s">
        <v>485</v>
      </c>
      <c r="R15" s="67">
        <f ca="1">PMT(R13/12,R14*12,R12)</f>
        <v>-581230.91360479721</v>
      </c>
      <c r="S15" s="73"/>
    </row>
    <row r="16" spans="1:19">
      <c r="B16" s="63" t="s">
        <v>21</v>
      </c>
      <c r="G16" s="573">
        <v>1000</v>
      </c>
      <c r="I16" s="63" t="s">
        <v>487</v>
      </c>
      <c r="M16" s="68">
        <v>0.05</v>
      </c>
    </row>
    <row r="17" spans="1:18">
      <c r="B17" s="63" t="s">
        <v>483</v>
      </c>
      <c r="E17" s="72"/>
      <c r="F17" s="72"/>
      <c r="G17" s="68">
        <v>0.2</v>
      </c>
      <c r="I17" s="63" t="s">
        <v>489</v>
      </c>
      <c r="M17" s="68">
        <v>0.03</v>
      </c>
      <c r="O17" s="63" t="s">
        <v>467</v>
      </c>
      <c r="R17" s="233">
        <v>0.7</v>
      </c>
    </row>
    <row r="18" spans="1:18">
      <c r="B18" s="63" t="s">
        <v>486</v>
      </c>
      <c r="G18" s="68">
        <v>0.5</v>
      </c>
      <c r="I18" s="63" t="s">
        <v>490</v>
      </c>
      <c r="M18" s="65">
        <v>6</v>
      </c>
      <c r="O18" s="63" t="s">
        <v>491</v>
      </c>
      <c r="R18" s="572">
        <v>1.33</v>
      </c>
    </row>
    <row r="19" spans="1:18">
      <c r="B19" s="63" t="s">
        <v>798</v>
      </c>
      <c r="G19" s="68">
        <v>0.3</v>
      </c>
      <c r="I19" s="63" t="s">
        <v>492</v>
      </c>
      <c r="M19" s="65">
        <v>29</v>
      </c>
      <c r="O19" s="63" t="s">
        <v>493</v>
      </c>
      <c r="R19" s="233">
        <v>0.08</v>
      </c>
    </row>
    <row r="20" spans="1:18">
      <c r="B20" s="63" t="s">
        <v>496</v>
      </c>
      <c r="G20" s="108">
        <f ca="1">G12/1.5</f>
        <v>274</v>
      </c>
      <c r="I20" s="63" t="s">
        <v>494</v>
      </c>
      <c r="M20" s="107">
        <v>0.3</v>
      </c>
      <c r="O20" s="232"/>
      <c r="P20" s="232"/>
      <c r="Q20" s="232"/>
      <c r="R20" s="233"/>
    </row>
    <row r="21" spans="1:18">
      <c r="G21" s="69"/>
      <c r="I21" s="63" t="s">
        <v>497</v>
      </c>
      <c r="M21" s="68">
        <v>0.02</v>
      </c>
      <c r="R21" s="75"/>
    </row>
    <row r="22" spans="1:18">
      <c r="G22" s="74"/>
      <c r="I22" s="63" t="s">
        <v>728</v>
      </c>
      <c r="M22" s="408">
        <f>Taxes!$H$13</f>
        <v>0.04</v>
      </c>
      <c r="O22" s="64" t="s">
        <v>499</v>
      </c>
      <c r="P22" s="64"/>
      <c r="Q22" s="64"/>
      <c r="R22" s="64"/>
    </row>
    <row r="23" spans="1:18">
      <c r="I23" s="63" t="s">
        <v>498</v>
      </c>
      <c r="M23" s="68">
        <v>0.02</v>
      </c>
      <c r="O23" s="63" t="s">
        <v>28</v>
      </c>
      <c r="Q23" s="77">
        <f ca="1">R23/R25</f>
        <v>0.3000000000000001</v>
      </c>
      <c r="R23" s="67">
        <f ca="1">R25-R24</f>
        <v>35916639.806276292</v>
      </c>
    </row>
    <row r="24" spans="1:18">
      <c r="I24" s="63" t="s">
        <v>500</v>
      </c>
      <c r="K24" s="76"/>
      <c r="M24" s="571">
        <v>1920</v>
      </c>
      <c r="O24" s="78" t="s">
        <v>478</v>
      </c>
      <c r="P24" s="78"/>
      <c r="Q24" s="79">
        <f ca="1">R24/R25</f>
        <v>0.7</v>
      </c>
      <c r="R24" s="80">
        <f ca="1">R12</f>
        <v>83805492.881311312</v>
      </c>
    </row>
    <row r="25" spans="1:18">
      <c r="G25" s="81"/>
      <c r="I25" s="63" t="s">
        <v>501</v>
      </c>
      <c r="K25" s="76"/>
      <c r="M25" s="68">
        <v>0.1</v>
      </c>
      <c r="O25" s="63" t="s">
        <v>16</v>
      </c>
      <c r="R25" s="67">
        <f ca="1">R30</f>
        <v>119722132.6875876</v>
      </c>
    </row>
    <row r="26" spans="1:18">
      <c r="B26" s="64" t="s">
        <v>502</v>
      </c>
      <c r="C26" s="64"/>
      <c r="D26" s="64"/>
      <c r="E26" s="64"/>
      <c r="F26" s="64"/>
      <c r="G26" s="64"/>
      <c r="I26" s="63" t="s">
        <v>503</v>
      </c>
      <c r="K26" s="76"/>
      <c r="M26" s="71">
        <v>10</v>
      </c>
    </row>
    <row r="27" spans="1:18">
      <c r="B27" s="63" t="s">
        <v>467</v>
      </c>
      <c r="G27" s="82">
        <f ca="1">R17*R28</f>
        <v>83805492.881311312</v>
      </c>
      <c r="I27" s="63" t="s">
        <v>504</v>
      </c>
      <c r="K27" s="76"/>
      <c r="M27" s="68">
        <v>0.08</v>
      </c>
      <c r="O27" s="64" t="s">
        <v>449</v>
      </c>
      <c r="P27" s="64"/>
      <c r="Q27" s="64"/>
      <c r="R27" s="64"/>
    </row>
    <row r="28" spans="1:18">
      <c r="B28" s="63" t="s">
        <v>491</v>
      </c>
      <c r="G28" s="67">
        <f ca="1">H58/R19</f>
        <v>23491711.5</v>
      </c>
      <c r="I28" s="63" t="s">
        <v>505</v>
      </c>
      <c r="M28" s="70">
        <v>5.6000000000000001E-2</v>
      </c>
      <c r="O28" s="63" t="s">
        <v>506</v>
      </c>
      <c r="R28" s="82">
        <f ca="1">SUM('Area Matrix'!D34,'Area Matrix'!H34,'Area Matrix'!L34,'Area Matrix'!P34,'Area Matrix'!T34)</f>
        <v>119722132.6875876</v>
      </c>
    </row>
    <row r="29" spans="1:18">
      <c r="B29" s="63" t="s">
        <v>493</v>
      </c>
      <c r="G29" s="67">
        <f ca="1">PV(R13/12,R14*12,-H58/R18/12,0)</f>
        <v>16978352.202771816</v>
      </c>
      <c r="O29" s="78" t="s">
        <v>507</v>
      </c>
      <c r="P29" s="78"/>
      <c r="Q29" s="78"/>
      <c r="R29" s="80">
        <v>0</v>
      </c>
    </row>
    <row r="30" spans="1:18">
      <c r="O30" s="63" t="s">
        <v>453</v>
      </c>
      <c r="R30" s="67">
        <f ca="1">SUM(R28:R29)</f>
        <v>119722132.6875876</v>
      </c>
    </row>
    <row r="32" spans="1:18">
      <c r="A32" s="63" t="s">
        <v>472</v>
      </c>
      <c r="B32" s="64" t="s">
        <v>508</v>
      </c>
      <c r="C32" s="64"/>
      <c r="D32" s="64"/>
      <c r="E32" s="64"/>
      <c r="F32" s="83"/>
      <c r="G32" s="83">
        <f>F32+1</f>
        <v>1</v>
      </c>
      <c r="H32" s="83">
        <f>G32+1</f>
        <v>2</v>
      </c>
      <c r="I32" s="83">
        <f t="shared" ref="I32:R32" si="0">H32+1</f>
        <v>3</v>
      </c>
      <c r="J32" s="83">
        <f t="shared" si="0"/>
        <v>4</v>
      </c>
      <c r="K32" s="83">
        <f t="shared" si="0"/>
        <v>5</v>
      </c>
      <c r="L32" s="83">
        <f t="shared" si="0"/>
        <v>6</v>
      </c>
      <c r="M32" s="83">
        <f t="shared" si="0"/>
        <v>7</v>
      </c>
      <c r="N32" s="83">
        <f t="shared" si="0"/>
        <v>8</v>
      </c>
      <c r="O32" s="83">
        <f t="shared" si="0"/>
        <v>9</v>
      </c>
      <c r="P32" s="83">
        <f t="shared" si="0"/>
        <v>10</v>
      </c>
      <c r="Q32" s="83">
        <f t="shared" si="0"/>
        <v>11</v>
      </c>
      <c r="R32" s="83">
        <f t="shared" si="0"/>
        <v>12</v>
      </c>
    </row>
    <row r="33" spans="1:37">
      <c r="B33" s="66" t="s">
        <v>509</v>
      </c>
    </row>
    <row r="34" spans="1:37">
      <c r="B34" s="63" t="s">
        <v>510</v>
      </c>
      <c r="G34" s="67">
        <f t="shared" ref="G34:R34" si="1">IF(G32&gt;=$M$18,$M$13*$M$19*$G$17*($L$32),$M$13*$G$17*(G$32*$M$19))</f>
        <v>8120</v>
      </c>
      <c r="H34" s="67">
        <f t="shared" si="1"/>
        <v>16240</v>
      </c>
      <c r="I34" s="67">
        <f t="shared" si="1"/>
        <v>24360</v>
      </c>
      <c r="J34" s="67">
        <f t="shared" si="1"/>
        <v>32480</v>
      </c>
      <c r="K34" s="67">
        <f t="shared" si="1"/>
        <v>40600</v>
      </c>
      <c r="L34" s="67">
        <f t="shared" si="1"/>
        <v>48720</v>
      </c>
      <c r="M34" s="67">
        <f t="shared" si="1"/>
        <v>48720</v>
      </c>
      <c r="N34" s="67">
        <f t="shared" si="1"/>
        <v>48720</v>
      </c>
      <c r="O34" s="67">
        <f t="shared" si="1"/>
        <v>48720</v>
      </c>
      <c r="P34" s="67">
        <f t="shared" si="1"/>
        <v>48720</v>
      </c>
      <c r="Q34" s="67">
        <f t="shared" si="1"/>
        <v>48720</v>
      </c>
      <c r="R34" s="67">
        <f t="shared" si="1"/>
        <v>48720</v>
      </c>
      <c r="S34" s="73"/>
      <c r="T34" s="73"/>
    </row>
    <row r="35" spans="1:37">
      <c r="B35" s="63" t="s">
        <v>511</v>
      </c>
      <c r="G35" s="67">
        <f t="shared" ref="G35:R35" si="2">IF(G32&gt;=$M$18,$M$14*$M$19*$G$18*($L$32),$M$14*$G$18*(G$32*$M$19))</f>
        <v>21750</v>
      </c>
      <c r="H35" s="67">
        <f t="shared" si="2"/>
        <v>43500</v>
      </c>
      <c r="I35" s="67">
        <f t="shared" si="2"/>
        <v>65250</v>
      </c>
      <c r="J35" s="67">
        <f t="shared" si="2"/>
        <v>87000</v>
      </c>
      <c r="K35" s="67">
        <f t="shared" si="2"/>
        <v>108750</v>
      </c>
      <c r="L35" s="67">
        <f t="shared" si="2"/>
        <v>130500</v>
      </c>
      <c r="M35" s="67">
        <f t="shared" si="2"/>
        <v>130500</v>
      </c>
      <c r="N35" s="67">
        <f t="shared" si="2"/>
        <v>130500</v>
      </c>
      <c r="O35" s="67">
        <f t="shared" si="2"/>
        <v>130500</v>
      </c>
      <c r="P35" s="67">
        <f t="shared" si="2"/>
        <v>130500</v>
      </c>
      <c r="Q35" s="67">
        <f t="shared" si="2"/>
        <v>130500</v>
      </c>
      <c r="R35" s="67">
        <f t="shared" si="2"/>
        <v>130500</v>
      </c>
    </row>
    <row r="36" spans="1:37">
      <c r="B36" s="63" t="s">
        <v>512</v>
      </c>
      <c r="G36" s="67">
        <f t="shared" ref="G36:R36" si="3">IF(G32&gt;=$M$18,$M$15*$M$19*$G$19*($L$32),$M$15*$G$19*(G$32*$M$19))</f>
        <v>14790</v>
      </c>
      <c r="H36" s="67">
        <f t="shared" si="3"/>
        <v>29580</v>
      </c>
      <c r="I36" s="67">
        <f t="shared" si="3"/>
        <v>44370</v>
      </c>
      <c r="J36" s="67">
        <f t="shared" si="3"/>
        <v>59160</v>
      </c>
      <c r="K36" s="67">
        <f t="shared" si="3"/>
        <v>73950</v>
      </c>
      <c r="L36" s="67">
        <f t="shared" si="3"/>
        <v>88740</v>
      </c>
      <c r="M36" s="67">
        <f t="shared" si="3"/>
        <v>88740</v>
      </c>
      <c r="N36" s="67">
        <f t="shared" si="3"/>
        <v>88740</v>
      </c>
      <c r="O36" s="67">
        <f t="shared" si="3"/>
        <v>88740</v>
      </c>
      <c r="P36" s="67">
        <f t="shared" si="3"/>
        <v>88740</v>
      </c>
      <c r="Q36" s="67">
        <f t="shared" si="3"/>
        <v>88740</v>
      </c>
      <c r="R36" s="67">
        <f t="shared" si="3"/>
        <v>88740</v>
      </c>
    </row>
    <row r="37" spans="1:37">
      <c r="B37" s="84" t="s">
        <v>16</v>
      </c>
      <c r="C37" s="84"/>
      <c r="D37" s="84"/>
      <c r="E37" s="84"/>
      <c r="F37" s="84"/>
      <c r="G37" s="85">
        <f>SUM(G34:G36)</f>
        <v>44660</v>
      </c>
      <c r="H37" s="85">
        <f t="shared" ref="H37:R37" si="4">SUM(H34:H36)</f>
        <v>89320</v>
      </c>
      <c r="I37" s="85">
        <f t="shared" si="4"/>
        <v>133980</v>
      </c>
      <c r="J37" s="85">
        <f t="shared" si="4"/>
        <v>178640</v>
      </c>
      <c r="K37" s="85">
        <f t="shared" si="4"/>
        <v>223300</v>
      </c>
      <c r="L37" s="85">
        <f t="shared" si="4"/>
        <v>267960</v>
      </c>
      <c r="M37" s="85">
        <f t="shared" si="4"/>
        <v>267960</v>
      </c>
      <c r="N37" s="85">
        <f t="shared" si="4"/>
        <v>267960</v>
      </c>
      <c r="O37" s="85">
        <f t="shared" si="4"/>
        <v>267960</v>
      </c>
      <c r="P37" s="85">
        <f t="shared" si="4"/>
        <v>267960</v>
      </c>
      <c r="Q37" s="85">
        <f t="shared" si="4"/>
        <v>267960</v>
      </c>
      <c r="R37" s="85">
        <f t="shared" si="4"/>
        <v>267960</v>
      </c>
    </row>
    <row r="39" spans="1:37">
      <c r="A39" s="63" t="s">
        <v>472</v>
      </c>
      <c r="B39" s="64" t="s">
        <v>513</v>
      </c>
      <c r="C39" s="64"/>
      <c r="D39" s="64"/>
      <c r="E39" s="64"/>
      <c r="F39" s="64"/>
      <c r="G39" s="86">
        <v>0</v>
      </c>
      <c r="H39" s="86">
        <f>G39+1</f>
        <v>1</v>
      </c>
      <c r="I39" s="86">
        <f t="shared" ref="I39:R39" si="5">H39+1</f>
        <v>2</v>
      </c>
      <c r="J39" s="86">
        <f t="shared" si="5"/>
        <v>3</v>
      </c>
      <c r="K39" s="86">
        <f t="shared" si="5"/>
        <v>4</v>
      </c>
      <c r="L39" s="86">
        <f t="shared" si="5"/>
        <v>5</v>
      </c>
      <c r="M39" s="86">
        <f t="shared" si="5"/>
        <v>6</v>
      </c>
      <c r="N39" s="86">
        <f t="shared" si="5"/>
        <v>7</v>
      </c>
      <c r="O39" s="86">
        <f t="shared" si="5"/>
        <v>8</v>
      </c>
      <c r="P39" s="86">
        <f t="shared" si="5"/>
        <v>9</v>
      </c>
      <c r="Q39" s="86">
        <f t="shared" si="5"/>
        <v>10</v>
      </c>
      <c r="R39" s="86">
        <f t="shared" si="5"/>
        <v>11</v>
      </c>
      <c r="S39" s="86">
        <f t="shared" ref="S39" si="6">R39+1</f>
        <v>12</v>
      </c>
      <c r="T39" s="86">
        <f t="shared" ref="T39" si="7">S39+1</f>
        <v>13</v>
      </c>
      <c r="U39" s="86">
        <f t="shared" ref="U39" si="8">T39+1</f>
        <v>14</v>
      </c>
      <c r="V39" s="86">
        <f t="shared" ref="V39" si="9">U39+1</f>
        <v>15</v>
      </c>
      <c r="W39" s="86">
        <f t="shared" ref="W39" si="10">V39+1</f>
        <v>16</v>
      </c>
      <c r="X39" s="86">
        <f t="shared" ref="X39" si="11">W39+1</f>
        <v>17</v>
      </c>
      <c r="Y39" s="86">
        <f t="shared" ref="Y39" si="12">X39+1</f>
        <v>18</v>
      </c>
      <c r="Z39" s="86">
        <f t="shared" ref="Z39" si="13">Y39+1</f>
        <v>19</v>
      </c>
      <c r="AA39" s="86">
        <f t="shared" ref="AA39" si="14">Z39+1</f>
        <v>20</v>
      </c>
      <c r="AB39" s="86">
        <f t="shared" ref="AB39" si="15">AA39+1</f>
        <v>21</v>
      </c>
      <c r="AC39" s="86">
        <f t="shared" ref="AC39" si="16">AB39+1</f>
        <v>22</v>
      </c>
      <c r="AD39" s="86">
        <f t="shared" ref="AD39" si="17">AC39+1</f>
        <v>23</v>
      </c>
      <c r="AE39" s="86">
        <f t="shared" ref="AE39" si="18">AD39+1</f>
        <v>24</v>
      </c>
      <c r="AF39" s="86">
        <f t="shared" ref="AF39" si="19">AE39+1</f>
        <v>25</v>
      </c>
      <c r="AG39" s="86">
        <f t="shared" ref="AG39" si="20">AF39+1</f>
        <v>26</v>
      </c>
      <c r="AH39" s="86">
        <f t="shared" ref="AH39" si="21">AG39+1</f>
        <v>27</v>
      </c>
      <c r="AI39" s="86">
        <f t="shared" ref="AI39" si="22">AH39+1</f>
        <v>28</v>
      </c>
      <c r="AJ39" s="86">
        <f t="shared" ref="AJ39" si="23">AI39+1</f>
        <v>29</v>
      </c>
      <c r="AK39" s="86">
        <f t="shared" ref="AK39" si="24">AJ39+1</f>
        <v>30</v>
      </c>
    </row>
    <row r="40" spans="1:37">
      <c r="B40" s="87" t="s">
        <v>412</v>
      </c>
      <c r="C40" s="87"/>
      <c r="D40" s="87"/>
      <c r="E40" s="87"/>
      <c r="F40" s="87"/>
      <c r="G40" s="87"/>
      <c r="H40" s="88">
        <f t="shared" ref="H40:AK40" si="25">1-$M$16</f>
        <v>0.95</v>
      </c>
      <c r="I40" s="88">
        <f t="shared" si="25"/>
        <v>0.95</v>
      </c>
      <c r="J40" s="88">
        <f t="shared" si="25"/>
        <v>0.95</v>
      </c>
      <c r="K40" s="88">
        <f t="shared" si="25"/>
        <v>0.95</v>
      </c>
      <c r="L40" s="88">
        <f t="shared" si="25"/>
        <v>0.95</v>
      </c>
      <c r="M40" s="88">
        <f t="shared" si="25"/>
        <v>0.95</v>
      </c>
      <c r="N40" s="88">
        <f t="shared" si="25"/>
        <v>0.95</v>
      </c>
      <c r="O40" s="88">
        <f t="shared" si="25"/>
        <v>0.95</v>
      </c>
      <c r="P40" s="88">
        <f t="shared" si="25"/>
        <v>0.95</v>
      </c>
      <c r="Q40" s="88">
        <f t="shared" si="25"/>
        <v>0.95</v>
      </c>
      <c r="R40" s="88">
        <f t="shared" si="25"/>
        <v>0.95</v>
      </c>
      <c r="S40" s="88">
        <f t="shared" si="25"/>
        <v>0.95</v>
      </c>
      <c r="T40" s="88">
        <f t="shared" si="25"/>
        <v>0.95</v>
      </c>
      <c r="U40" s="88">
        <f t="shared" si="25"/>
        <v>0.95</v>
      </c>
      <c r="V40" s="88">
        <f t="shared" si="25"/>
        <v>0.95</v>
      </c>
      <c r="W40" s="88">
        <f t="shared" si="25"/>
        <v>0.95</v>
      </c>
      <c r="X40" s="88">
        <f t="shared" si="25"/>
        <v>0.95</v>
      </c>
      <c r="Y40" s="88">
        <f t="shared" si="25"/>
        <v>0.95</v>
      </c>
      <c r="Z40" s="88">
        <f t="shared" si="25"/>
        <v>0.95</v>
      </c>
      <c r="AA40" s="88">
        <f t="shared" si="25"/>
        <v>0.95</v>
      </c>
      <c r="AB40" s="88">
        <f t="shared" si="25"/>
        <v>0.95</v>
      </c>
      <c r="AC40" s="88">
        <f t="shared" si="25"/>
        <v>0.95</v>
      </c>
      <c r="AD40" s="88">
        <f t="shared" si="25"/>
        <v>0.95</v>
      </c>
      <c r="AE40" s="88">
        <f t="shared" si="25"/>
        <v>0.95</v>
      </c>
      <c r="AF40" s="88">
        <f t="shared" si="25"/>
        <v>0.95</v>
      </c>
      <c r="AG40" s="88">
        <f t="shared" si="25"/>
        <v>0.95</v>
      </c>
      <c r="AH40" s="88">
        <f t="shared" si="25"/>
        <v>0.95</v>
      </c>
      <c r="AI40" s="88">
        <f t="shared" si="25"/>
        <v>0.95</v>
      </c>
      <c r="AJ40" s="88">
        <f t="shared" si="25"/>
        <v>0.95</v>
      </c>
      <c r="AK40" s="88">
        <f t="shared" si="25"/>
        <v>0.95</v>
      </c>
    </row>
    <row r="41" spans="1:37"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</row>
    <row r="42" spans="1:37">
      <c r="B42" s="63" t="s">
        <v>506</v>
      </c>
      <c r="G42" s="67">
        <f ca="1">-R30</f>
        <v>-119722132.6875876</v>
      </c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</row>
    <row r="44" spans="1:37">
      <c r="B44" s="87" t="s">
        <v>514</v>
      </c>
      <c r="G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</row>
    <row r="45" spans="1:37">
      <c r="B45" s="63" t="s">
        <v>515</v>
      </c>
      <c r="G45" s="67"/>
      <c r="H45" s="67">
        <f>SUM(G34:R34)</f>
        <v>462840</v>
      </c>
      <c r="I45" s="67">
        <f t="shared" ref="I45:R45" ca="1" si="26">$G$12*$G$17*$M$13*(1+$M$17)^H39*12</f>
        <v>1422388.8</v>
      </c>
      <c r="J45" s="67">
        <f t="shared" ca="1" si="26"/>
        <v>1465060.4639999999</v>
      </c>
      <c r="K45" s="67">
        <f t="shared" ca="1" si="26"/>
        <v>1509012.27792</v>
      </c>
      <c r="L45" s="67">
        <f t="shared" ca="1" si="26"/>
        <v>1554282.6462575998</v>
      </c>
      <c r="M45" s="67">
        <f t="shared" ca="1" si="26"/>
        <v>1600911.1256453278</v>
      </c>
      <c r="N45" s="67">
        <f t="shared" ca="1" si="26"/>
        <v>1648938.4594146879</v>
      </c>
      <c r="O45" s="67">
        <f t="shared" ca="1" si="26"/>
        <v>1698406.6131971283</v>
      </c>
      <c r="P45" s="67">
        <f t="shared" ca="1" si="26"/>
        <v>1749358.811593042</v>
      </c>
      <c r="Q45" s="67">
        <f t="shared" ca="1" si="26"/>
        <v>1801839.5759408334</v>
      </c>
      <c r="R45" s="67">
        <f t="shared" ca="1" si="26"/>
        <v>1855894.7632190585</v>
      </c>
      <c r="S45" s="67">
        <f t="shared" ref="S45:AK45" ca="1" si="27">$G$12*$G$17*$M$13*(1+$M$17)^R39*12</f>
        <v>1911571.6061156304</v>
      </c>
      <c r="T45" s="67">
        <f t="shared" ca="1" si="27"/>
        <v>1968918.7542990986</v>
      </c>
      <c r="U45" s="67">
        <f t="shared" ca="1" si="27"/>
        <v>2027986.3169280719</v>
      </c>
      <c r="V45" s="67">
        <f t="shared" ca="1" si="27"/>
        <v>2088825.9064359143</v>
      </c>
      <c r="W45" s="67">
        <f t="shared" ca="1" si="27"/>
        <v>2151490.6836289917</v>
      </c>
      <c r="X45" s="67">
        <f t="shared" ca="1" si="27"/>
        <v>2216035.404137861</v>
      </c>
      <c r="Y45" s="67">
        <f t="shared" ca="1" si="27"/>
        <v>2282516.4662619969</v>
      </c>
      <c r="Z45" s="67">
        <f t="shared" ca="1" si="27"/>
        <v>2350991.960249857</v>
      </c>
      <c r="AA45" s="67">
        <f t="shared" ca="1" si="27"/>
        <v>2421521.7190573523</v>
      </c>
      <c r="AB45" s="67">
        <f t="shared" ca="1" si="27"/>
        <v>2494167.3706290731</v>
      </c>
      <c r="AC45" s="67">
        <f t="shared" ca="1" si="27"/>
        <v>2568992.391747945</v>
      </c>
      <c r="AD45" s="67">
        <f t="shared" ca="1" si="27"/>
        <v>2646062.1635003835</v>
      </c>
      <c r="AE45" s="67">
        <f t="shared" ca="1" si="27"/>
        <v>2725444.0284053953</v>
      </c>
      <c r="AF45" s="67">
        <f t="shared" ca="1" si="27"/>
        <v>2807207.3492575567</v>
      </c>
      <c r="AG45" s="67">
        <f t="shared" ca="1" si="27"/>
        <v>2891423.569735283</v>
      </c>
      <c r="AH45" s="67">
        <f t="shared" ca="1" si="27"/>
        <v>2978166.2768273423</v>
      </c>
      <c r="AI45" s="67">
        <f t="shared" ca="1" si="27"/>
        <v>3067511.2651321618</v>
      </c>
      <c r="AJ45" s="67">
        <f t="shared" ca="1" si="27"/>
        <v>3159536.603086127</v>
      </c>
      <c r="AK45" s="67">
        <f t="shared" ca="1" si="27"/>
        <v>3254322.70117871</v>
      </c>
    </row>
    <row r="46" spans="1:37">
      <c r="B46" s="63" t="s">
        <v>516</v>
      </c>
      <c r="G46" s="67"/>
      <c r="H46" s="67">
        <f>SUM(G35:R35)</f>
        <v>1239750</v>
      </c>
      <c r="I46" s="67">
        <f t="shared" ref="I46:R46" ca="1" si="28">$G$12*$G$18*$M$14*(1+$M$17)^H39*12</f>
        <v>3809970</v>
      </c>
      <c r="J46" s="67">
        <f t="shared" ca="1" si="28"/>
        <v>3924269.0999999996</v>
      </c>
      <c r="K46" s="67">
        <f t="shared" ca="1" si="28"/>
        <v>4041997.1730000004</v>
      </c>
      <c r="L46" s="67">
        <f t="shared" ca="1" si="28"/>
        <v>4163257.0881899996</v>
      </c>
      <c r="M46" s="67">
        <f t="shared" ca="1" si="28"/>
        <v>4288154.8008356998</v>
      </c>
      <c r="N46" s="67">
        <f t="shared" ca="1" si="28"/>
        <v>4416799.4448607704</v>
      </c>
      <c r="O46" s="67">
        <f t="shared" ca="1" si="28"/>
        <v>4549303.4282065937</v>
      </c>
      <c r="P46" s="67">
        <f t="shared" ca="1" si="28"/>
        <v>4685782.5310527915</v>
      </c>
      <c r="Q46" s="67">
        <f t="shared" ca="1" si="28"/>
        <v>4826356.0069843754</v>
      </c>
      <c r="R46" s="67">
        <f t="shared" ca="1" si="28"/>
        <v>4971146.6871939069</v>
      </c>
      <c r="S46" s="67">
        <f t="shared" ref="S46:AK46" ca="1" si="29">$G$12*$G$18*$M$14*(1+$M$17)^R39*12</f>
        <v>5120281.0878097238</v>
      </c>
      <c r="T46" s="67">
        <f t="shared" ca="1" si="29"/>
        <v>5273889.520444015</v>
      </c>
      <c r="U46" s="67">
        <f t="shared" ca="1" si="29"/>
        <v>5432106.2060573353</v>
      </c>
      <c r="V46" s="67">
        <f t="shared" ca="1" si="29"/>
        <v>5595069.3922390556</v>
      </c>
      <c r="W46" s="67">
        <f t="shared" ca="1" si="29"/>
        <v>5762921.4740062272</v>
      </c>
      <c r="X46" s="67">
        <f t="shared" ca="1" si="29"/>
        <v>5935809.1182264127</v>
      </c>
      <c r="Y46" s="67">
        <f t="shared" ca="1" si="29"/>
        <v>6113883.3917732062</v>
      </c>
      <c r="Z46" s="67">
        <f t="shared" ca="1" si="29"/>
        <v>6297299.8935264023</v>
      </c>
      <c r="AA46" s="67">
        <f t="shared" ca="1" si="29"/>
        <v>6486218.890332194</v>
      </c>
      <c r="AB46" s="67">
        <f t="shared" ca="1" si="29"/>
        <v>6680805.4570421595</v>
      </c>
      <c r="AC46" s="67">
        <f t="shared" ca="1" si="29"/>
        <v>6881229.6207534242</v>
      </c>
      <c r="AD46" s="67">
        <f t="shared" ca="1" si="29"/>
        <v>7087666.5093760267</v>
      </c>
      <c r="AE46" s="67">
        <f t="shared" ca="1" si="29"/>
        <v>7300296.5046573076</v>
      </c>
      <c r="AF46" s="67">
        <f t="shared" ca="1" si="29"/>
        <v>7519305.3997970261</v>
      </c>
      <c r="AG46" s="67">
        <f t="shared" ca="1" si="29"/>
        <v>7744884.5617909376</v>
      </c>
      <c r="AH46" s="67">
        <f t="shared" ca="1" si="29"/>
        <v>7977231.0986446664</v>
      </c>
      <c r="AI46" s="67">
        <f t="shared" ca="1" si="29"/>
        <v>8216548.031604005</v>
      </c>
      <c r="AJ46" s="67">
        <f t="shared" ca="1" si="29"/>
        <v>8463044.4725521263</v>
      </c>
      <c r="AK46" s="67">
        <f t="shared" ca="1" si="29"/>
        <v>8716935.806728689</v>
      </c>
    </row>
    <row r="47" spans="1:37">
      <c r="B47" s="63" t="s">
        <v>517</v>
      </c>
      <c r="G47" s="67"/>
      <c r="H47" s="67">
        <f>SUM(G36:R36)</f>
        <v>843030</v>
      </c>
      <c r="I47" s="67">
        <f t="shared" ref="I47:R47" ca="1" si="30">$G$12*$G$19*$M$15*(1+$M$17)^H39*12</f>
        <v>2590779.6</v>
      </c>
      <c r="J47" s="67">
        <f t="shared" ca="1" si="30"/>
        <v>2668502.9879999999</v>
      </c>
      <c r="K47" s="67">
        <f t="shared" ca="1" si="30"/>
        <v>2748558.0776399998</v>
      </c>
      <c r="L47" s="67">
        <f t="shared" ca="1" si="30"/>
        <v>2831014.8199691996</v>
      </c>
      <c r="M47" s="67">
        <f t="shared" ca="1" si="30"/>
        <v>2915945.2645682758</v>
      </c>
      <c r="N47" s="67">
        <f t="shared" ca="1" si="30"/>
        <v>3003423.622505324</v>
      </c>
      <c r="O47" s="67">
        <f t="shared" ca="1" si="30"/>
        <v>3093526.331180484</v>
      </c>
      <c r="P47" s="67">
        <f t="shared" ca="1" si="30"/>
        <v>3186332.1211158978</v>
      </c>
      <c r="Q47" s="67">
        <f t="shared" ca="1" si="30"/>
        <v>3281922.0847493755</v>
      </c>
      <c r="R47" s="67">
        <f t="shared" ca="1" si="30"/>
        <v>3380379.7472918564</v>
      </c>
      <c r="S47" s="67">
        <f t="shared" ref="S47:AK47" ca="1" si="31">$G$12*$G$19*$M$15*(1+$M$17)^R39*12</f>
        <v>3481791.1397106117</v>
      </c>
      <c r="T47" s="67">
        <f t="shared" ca="1" si="31"/>
        <v>3586244.8739019297</v>
      </c>
      <c r="U47" s="67">
        <f t="shared" ca="1" si="31"/>
        <v>3693832.2201189874</v>
      </c>
      <c r="V47" s="67">
        <f t="shared" ca="1" si="31"/>
        <v>3804647.186722558</v>
      </c>
      <c r="W47" s="67">
        <f t="shared" ca="1" si="31"/>
        <v>3918786.6023242343</v>
      </c>
      <c r="X47" s="67">
        <f t="shared" ca="1" si="31"/>
        <v>4036350.2003939613</v>
      </c>
      <c r="Y47" s="67">
        <f t="shared" ca="1" si="31"/>
        <v>4157440.7064057803</v>
      </c>
      <c r="Z47" s="67">
        <f t="shared" ca="1" si="31"/>
        <v>4282163.9275979539</v>
      </c>
      <c r="AA47" s="67">
        <f t="shared" ca="1" si="31"/>
        <v>4410628.8454258926</v>
      </c>
      <c r="AB47" s="67">
        <f t="shared" ca="1" si="31"/>
        <v>4542947.7107886691</v>
      </c>
      <c r="AC47" s="67">
        <f t="shared" ca="1" si="31"/>
        <v>4679236.1421123277</v>
      </c>
      <c r="AD47" s="67">
        <f t="shared" ca="1" si="31"/>
        <v>4819613.2263756981</v>
      </c>
      <c r="AE47" s="67">
        <f t="shared" ca="1" si="31"/>
        <v>4964201.623166969</v>
      </c>
      <c r="AF47" s="67">
        <f t="shared" ca="1" si="31"/>
        <v>5113127.6718619782</v>
      </c>
      <c r="AG47" s="67">
        <f t="shared" ca="1" si="31"/>
        <v>5266521.502017837</v>
      </c>
      <c r="AH47" s="67">
        <f t="shared" ca="1" si="31"/>
        <v>5424517.1470783725</v>
      </c>
      <c r="AI47" s="67">
        <f t="shared" ca="1" si="31"/>
        <v>5587252.6614907235</v>
      </c>
      <c r="AJ47" s="67">
        <f t="shared" ca="1" si="31"/>
        <v>5754870.241335446</v>
      </c>
      <c r="AK47" s="67">
        <f t="shared" ca="1" si="31"/>
        <v>5927516.3485755082</v>
      </c>
    </row>
    <row r="48" spans="1:37">
      <c r="B48" s="87" t="s">
        <v>518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</row>
    <row r="49" spans="2:37">
      <c r="B49" s="63" t="s">
        <v>519</v>
      </c>
      <c r="G49" s="67"/>
      <c r="H49" s="67">
        <f t="shared" ref="H49:AK49" ca="1" si="32">$G$20*$M$24*(1+$M$17)^G39</f>
        <v>526080</v>
      </c>
      <c r="I49" s="67">
        <f t="shared" ca="1" si="32"/>
        <v>541862.40000000002</v>
      </c>
      <c r="J49" s="67">
        <f t="shared" ca="1" si="32"/>
        <v>558118.272</v>
      </c>
      <c r="K49" s="67">
        <f t="shared" ca="1" si="32"/>
        <v>574861.82016</v>
      </c>
      <c r="L49" s="67">
        <f t="shared" ca="1" si="32"/>
        <v>592107.6747648</v>
      </c>
      <c r="M49" s="67">
        <f t="shared" ca="1" si="32"/>
        <v>609870.90500774398</v>
      </c>
      <c r="N49" s="67">
        <f t="shared" ca="1" si="32"/>
        <v>628167.0321579763</v>
      </c>
      <c r="O49" s="67">
        <f t="shared" ca="1" si="32"/>
        <v>647012.04312271555</v>
      </c>
      <c r="P49" s="67">
        <f t="shared" ca="1" si="32"/>
        <v>666422.40441639698</v>
      </c>
      <c r="Q49" s="67">
        <f t="shared" ca="1" si="32"/>
        <v>686415.07654888893</v>
      </c>
      <c r="R49" s="67">
        <f t="shared" ca="1" si="32"/>
        <v>707007.52884535561</v>
      </c>
      <c r="S49" s="67">
        <f t="shared" ca="1" si="32"/>
        <v>728217.75471071631</v>
      </c>
      <c r="T49" s="67">
        <f t="shared" ca="1" si="32"/>
        <v>750064.28735203762</v>
      </c>
      <c r="U49" s="67">
        <f t="shared" ca="1" si="32"/>
        <v>772566.21597259876</v>
      </c>
      <c r="V49" s="67">
        <f t="shared" ca="1" si="32"/>
        <v>795743.20245177683</v>
      </c>
      <c r="W49" s="67">
        <f t="shared" ca="1" si="32"/>
        <v>819615.4985253301</v>
      </c>
      <c r="X49" s="67">
        <f t="shared" ca="1" si="32"/>
        <v>844203.96348108992</v>
      </c>
      <c r="Y49" s="67">
        <f t="shared" ca="1" si="32"/>
        <v>869530.08238552255</v>
      </c>
      <c r="Z49" s="67">
        <f t="shared" ca="1" si="32"/>
        <v>895615.9848570883</v>
      </c>
      <c r="AA49" s="67">
        <f t="shared" ca="1" si="32"/>
        <v>922484.46440280089</v>
      </c>
      <c r="AB49" s="67">
        <f t="shared" ca="1" si="32"/>
        <v>950158.99833488488</v>
      </c>
      <c r="AC49" s="67">
        <f t="shared" ca="1" si="32"/>
        <v>978663.76828493131</v>
      </c>
      <c r="AD49" s="67">
        <f t="shared" ca="1" si="32"/>
        <v>1008023.6813334794</v>
      </c>
      <c r="AE49" s="67">
        <f t="shared" ca="1" si="32"/>
        <v>1038264.3917734838</v>
      </c>
      <c r="AF49" s="67">
        <f t="shared" ca="1" si="32"/>
        <v>1069412.3235266882</v>
      </c>
      <c r="AG49" s="67">
        <f t="shared" ca="1" si="32"/>
        <v>1101494.6932324888</v>
      </c>
      <c r="AH49" s="67">
        <f t="shared" ca="1" si="32"/>
        <v>1134539.5340294635</v>
      </c>
      <c r="AI49" s="67">
        <f t="shared" ca="1" si="32"/>
        <v>1168575.7200503475</v>
      </c>
      <c r="AJ49" s="67">
        <f t="shared" ca="1" si="32"/>
        <v>1203632.9916518577</v>
      </c>
      <c r="AK49" s="67">
        <f t="shared" ca="1" si="32"/>
        <v>1239741.9814014134</v>
      </c>
    </row>
    <row r="50" spans="2:37">
      <c r="B50" s="84" t="s">
        <v>520</v>
      </c>
      <c r="C50" s="84"/>
      <c r="D50" s="84"/>
      <c r="E50" s="84"/>
      <c r="F50" s="84"/>
      <c r="G50" s="85"/>
      <c r="H50" s="85">
        <f t="shared" ref="H50:R50" ca="1" si="33">SUM(H43:H49)</f>
        <v>3071700</v>
      </c>
      <c r="I50" s="85">
        <f t="shared" ca="1" si="33"/>
        <v>8365000.8000000007</v>
      </c>
      <c r="J50" s="85">
        <f t="shared" ca="1" si="33"/>
        <v>8615950.8239999991</v>
      </c>
      <c r="K50" s="85">
        <f t="shared" ca="1" si="33"/>
        <v>8874429.3487200011</v>
      </c>
      <c r="L50" s="85">
        <f t="shared" ca="1" si="33"/>
        <v>9140662.2291815989</v>
      </c>
      <c r="M50" s="85">
        <f t="shared" ca="1" si="33"/>
        <v>9414882.0960570481</v>
      </c>
      <c r="N50" s="85">
        <f t="shared" ca="1" si="33"/>
        <v>9697328.5589387584</v>
      </c>
      <c r="O50" s="85">
        <f t="shared" ca="1" si="33"/>
        <v>9988248.4157069214</v>
      </c>
      <c r="P50" s="85">
        <f t="shared" ca="1" si="33"/>
        <v>10287895.868178129</v>
      </c>
      <c r="Q50" s="85">
        <f t="shared" ca="1" si="33"/>
        <v>10596532.744223474</v>
      </c>
      <c r="R50" s="85">
        <f t="shared" ca="1" si="33"/>
        <v>10914428.726550177</v>
      </c>
      <c r="S50" s="85">
        <f t="shared" ref="S50" ca="1" si="34">SUM(S43:S49)</f>
        <v>11241861.588346684</v>
      </c>
      <c r="T50" s="85">
        <f t="shared" ref="T50" ca="1" si="35">SUM(T43:T49)</f>
        <v>11579117.43599708</v>
      </c>
      <c r="U50" s="85">
        <f t="shared" ref="U50" ca="1" si="36">SUM(U43:U49)</f>
        <v>11926490.959076993</v>
      </c>
      <c r="V50" s="85">
        <f t="shared" ref="V50" ca="1" si="37">SUM(V43:V49)</f>
        <v>12284285.687849306</v>
      </c>
      <c r="W50" s="85">
        <f t="shared" ref="W50" ca="1" si="38">SUM(W43:W49)</f>
        <v>12652814.258484785</v>
      </c>
      <c r="X50" s="85">
        <f t="shared" ref="X50" ca="1" si="39">SUM(X43:X49)</f>
        <v>13032398.686239325</v>
      </c>
      <c r="Y50" s="85">
        <f t="shared" ref="Y50" ca="1" si="40">SUM(Y43:Y49)</f>
        <v>13423370.646826508</v>
      </c>
      <c r="Z50" s="85">
        <f t="shared" ref="Z50" ca="1" si="41">SUM(Z43:Z49)</f>
        <v>13826071.7662313</v>
      </c>
      <c r="AA50" s="85">
        <f t="shared" ref="AA50" ca="1" si="42">SUM(AA43:AA49)</f>
        <v>14240853.91921824</v>
      </c>
      <c r="AB50" s="85">
        <f t="shared" ref="AB50" ca="1" si="43">SUM(AB43:AB49)</f>
        <v>14668079.536794787</v>
      </c>
      <c r="AC50" s="85">
        <f t="shared" ref="AC50" ca="1" si="44">SUM(AC43:AC49)</f>
        <v>15108121.92289863</v>
      </c>
      <c r="AD50" s="85">
        <f t="shared" ref="AD50" ca="1" si="45">SUM(AD43:AD49)</f>
        <v>15561365.580585588</v>
      </c>
      <c r="AE50" s="85">
        <f t="shared" ref="AE50" ca="1" si="46">SUM(AE43:AE49)</f>
        <v>16028206.548003158</v>
      </c>
      <c r="AF50" s="85">
        <f t="shared" ref="AF50" ca="1" si="47">SUM(AF43:AF49)</f>
        <v>16509052.744443249</v>
      </c>
      <c r="AG50" s="85">
        <f t="shared" ref="AG50" ca="1" si="48">SUM(AG43:AG49)</f>
        <v>17004324.326776545</v>
      </c>
      <c r="AH50" s="85">
        <f t="shared" ref="AH50" ca="1" si="49">SUM(AH43:AH49)</f>
        <v>17514454.056579847</v>
      </c>
      <c r="AI50" s="85">
        <f t="shared" ref="AI50" ca="1" si="50">SUM(AI43:AI49)</f>
        <v>18039887.678277235</v>
      </c>
      <c r="AJ50" s="85">
        <f t="shared" ref="AJ50" ca="1" si="51">SUM(AJ43:AJ49)</f>
        <v>18581084.30862556</v>
      </c>
      <c r="AK50" s="85">
        <f t="shared" ref="AK50" ca="1" si="52">SUM(AK43:AK49)</f>
        <v>19138516.837884322</v>
      </c>
    </row>
    <row r="51" spans="2:37"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</row>
    <row r="52" spans="2:37">
      <c r="B52" s="78" t="s">
        <v>521</v>
      </c>
      <c r="C52" s="78"/>
      <c r="D52" s="78"/>
      <c r="E52" s="78"/>
      <c r="F52" s="78"/>
      <c r="G52" s="78"/>
      <c r="H52" s="80">
        <f t="shared" ref="H52:R52" si="53">-(1-H40)*SUM(H45:H47)</f>
        <v>-127281.00000000012</v>
      </c>
      <c r="I52" s="80">
        <f t="shared" ca="1" si="53"/>
        <v>-391156.92000000039</v>
      </c>
      <c r="J52" s="80">
        <f t="shared" ca="1" si="53"/>
        <v>-402891.6276000003</v>
      </c>
      <c r="K52" s="80">
        <f t="shared" ca="1" si="53"/>
        <v>-414978.3764280004</v>
      </c>
      <c r="L52" s="80">
        <f t="shared" ca="1" si="53"/>
        <v>-427427.72772084031</v>
      </c>
      <c r="M52" s="80">
        <f t="shared" ca="1" si="53"/>
        <v>-440250.55955246557</v>
      </c>
      <c r="N52" s="80">
        <f t="shared" ca="1" si="53"/>
        <v>-453458.07633903954</v>
      </c>
      <c r="O52" s="80">
        <f t="shared" ca="1" si="53"/>
        <v>-467061.8186292107</v>
      </c>
      <c r="P52" s="80">
        <f t="shared" ca="1" si="53"/>
        <v>-481073.67318808701</v>
      </c>
      <c r="Q52" s="80">
        <f t="shared" ca="1" si="53"/>
        <v>-495505.88338372967</v>
      </c>
      <c r="R52" s="80">
        <f t="shared" ca="1" si="53"/>
        <v>-510371.05988524156</v>
      </c>
      <c r="S52" s="80">
        <f t="shared" ref="S52:AK52" ca="1" si="54">-(1-S40)*SUM(S45:S47)</f>
        <v>-525682.19168179878</v>
      </c>
      <c r="T52" s="80">
        <f t="shared" ca="1" si="54"/>
        <v>-541452.65743225266</v>
      </c>
      <c r="U52" s="80">
        <f t="shared" ca="1" si="54"/>
        <v>-557696.23715522024</v>
      </c>
      <c r="V52" s="80">
        <f t="shared" ca="1" si="54"/>
        <v>-574427.12426987698</v>
      </c>
      <c r="W52" s="80">
        <f t="shared" ca="1" si="54"/>
        <v>-591659.93799797317</v>
      </c>
      <c r="X52" s="80">
        <f t="shared" ca="1" si="54"/>
        <v>-609409.73613791226</v>
      </c>
      <c r="Y52" s="80">
        <f t="shared" ca="1" si="54"/>
        <v>-627692.02822204982</v>
      </c>
      <c r="Z52" s="80">
        <f t="shared" ca="1" si="54"/>
        <v>-646522.78906871122</v>
      </c>
      <c r="AA52" s="80">
        <f t="shared" ca="1" si="54"/>
        <v>-665918.47274077253</v>
      </c>
      <c r="AB52" s="80">
        <f t="shared" ca="1" si="54"/>
        <v>-685896.02692299569</v>
      </c>
      <c r="AC52" s="80">
        <f t="shared" ca="1" si="54"/>
        <v>-706472.90773068555</v>
      </c>
      <c r="AD52" s="80">
        <f t="shared" ca="1" si="54"/>
        <v>-727667.09496260609</v>
      </c>
      <c r="AE52" s="80">
        <f t="shared" ca="1" si="54"/>
        <v>-749497.10781148437</v>
      </c>
      <c r="AF52" s="80">
        <f t="shared" ca="1" si="54"/>
        <v>-771982.0210458287</v>
      </c>
      <c r="AG52" s="80">
        <f t="shared" ca="1" si="54"/>
        <v>-795141.48167720356</v>
      </c>
      <c r="AH52" s="80">
        <f t="shared" ca="1" si="54"/>
        <v>-818995.72612751985</v>
      </c>
      <c r="AI52" s="80">
        <f t="shared" ca="1" si="54"/>
        <v>-843565.59791134519</v>
      </c>
      <c r="AJ52" s="80">
        <f t="shared" ca="1" si="54"/>
        <v>-868872.5658486858</v>
      </c>
      <c r="AK52" s="80">
        <f t="shared" ca="1" si="54"/>
        <v>-894938.74282414617</v>
      </c>
    </row>
    <row r="53" spans="2:37">
      <c r="B53" s="63" t="s">
        <v>522</v>
      </c>
      <c r="H53" s="67">
        <f ca="1">SUM(H50:H52)</f>
        <v>2944419</v>
      </c>
      <c r="I53" s="67">
        <f t="shared" ref="I53:R53" ca="1" si="55">SUM(I50:I52)</f>
        <v>7973843.8800000008</v>
      </c>
      <c r="J53" s="67">
        <f t="shared" ca="1" si="55"/>
        <v>8213059.1963999989</v>
      </c>
      <c r="K53" s="67">
        <f t="shared" ca="1" si="55"/>
        <v>8459450.9722920004</v>
      </c>
      <c r="L53" s="67">
        <f t="shared" ca="1" si="55"/>
        <v>8713234.501460759</v>
      </c>
      <c r="M53" s="67">
        <f t="shared" ca="1" si="55"/>
        <v>8974631.5365045816</v>
      </c>
      <c r="N53" s="67">
        <f t="shared" ca="1" si="55"/>
        <v>9243870.4825997185</v>
      </c>
      <c r="O53" s="67">
        <f t="shared" ca="1" si="55"/>
        <v>9521186.5970777106</v>
      </c>
      <c r="P53" s="67">
        <f t="shared" ca="1" si="55"/>
        <v>9806822.1949900426</v>
      </c>
      <c r="Q53" s="67">
        <f t="shared" ca="1" si="55"/>
        <v>10101026.860839743</v>
      </c>
      <c r="R53" s="67">
        <f t="shared" ca="1" si="55"/>
        <v>10404057.666664936</v>
      </c>
      <c r="S53" s="67">
        <f t="shared" ref="S53:AK53" ca="1" si="56">SUM(S50:S52)</f>
        <v>10716179.396664886</v>
      </c>
      <c r="T53" s="67">
        <f t="shared" ca="1" si="56"/>
        <v>11037664.778564828</v>
      </c>
      <c r="U53" s="67">
        <f t="shared" ca="1" si="56"/>
        <v>11368794.721921774</v>
      </c>
      <c r="V53" s="67">
        <f t="shared" ca="1" si="56"/>
        <v>11709858.563579429</v>
      </c>
      <c r="W53" s="67">
        <f t="shared" ca="1" si="56"/>
        <v>12061154.320486812</v>
      </c>
      <c r="X53" s="67">
        <f t="shared" ca="1" si="56"/>
        <v>12422988.950101413</v>
      </c>
      <c r="Y53" s="67">
        <f t="shared" ca="1" si="56"/>
        <v>12795678.618604457</v>
      </c>
      <c r="Z53" s="67">
        <f t="shared" ca="1" si="56"/>
        <v>13179548.977162588</v>
      </c>
      <c r="AA53" s="67">
        <f t="shared" ca="1" si="56"/>
        <v>13574935.446477467</v>
      </c>
      <c r="AB53" s="67">
        <f t="shared" ca="1" si="56"/>
        <v>13982183.509871792</v>
      </c>
      <c r="AC53" s="67">
        <f t="shared" ca="1" si="56"/>
        <v>14401649.015167944</v>
      </c>
      <c r="AD53" s="67">
        <f t="shared" ca="1" si="56"/>
        <v>14833698.485622982</v>
      </c>
      <c r="AE53" s="67">
        <f t="shared" ca="1" si="56"/>
        <v>15278709.440191673</v>
      </c>
      <c r="AF53" s="67">
        <f t="shared" ca="1" si="56"/>
        <v>15737070.723397421</v>
      </c>
      <c r="AG53" s="67">
        <f t="shared" ca="1" si="56"/>
        <v>16209182.845099341</v>
      </c>
      <c r="AH53" s="67">
        <f t="shared" ca="1" si="56"/>
        <v>16695458.330452327</v>
      </c>
      <c r="AI53" s="67">
        <f t="shared" ca="1" si="56"/>
        <v>17196322.080365889</v>
      </c>
      <c r="AJ53" s="67">
        <f t="shared" ca="1" si="56"/>
        <v>17712211.742776874</v>
      </c>
      <c r="AK53" s="67">
        <f t="shared" ca="1" si="56"/>
        <v>18243578.095060177</v>
      </c>
    </row>
    <row r="55" spans="2:37">
      <c r="B55" s="63" t="s">
        <v>413</v>
      </c>
      <c r="H55" s="67">
        <f ca="1">-($M$20*H53)*(1+$M$21)^G39</f>
        <v>-883325.7</v>
      </c>
      <c r="I55" s="67">
        <f t="shared" ref="I55:R55" ca="1" si="57">-($M$20*I53)*(1+$M$21)^H39</f>
        <v>-2439996.2272800002</v>
      </c>
      <c r="J55" s="67">
        <f t="shared" ca="1" si="57"/>
        <v>-2563460.0363803674</v>
      </c>
      <c r="K55" s="67">
        <f t="shared" ca="1" si="57"/>
        <v>-2693171.1142212143</v>
      </c>
      <c r="L55" s="67">
        <f t="shared" ca="1" si="57"/>
        <v>-2829445.5726008075</v>
      </c>
      <c r="M55" s="67">
        <f t="shared" ca="1" si="57"/>
        <v>-2972615.5185744087</v>
      </c>
      <c r="N55" s="67">
        <f t="shared" ca="1" si="57"/>
        <v>-3123029.8638142734</v>
      </c>
      <c r="O55" s="67">
        <f t="shared" ca="1" si="57"/>
        <v>-3281055.1749232751</v>
      </c>
      <c r="P55" s="67">
        <f t="shared" ca="1" si="57"/>
        <v>-3447076.5667743934</v>
      </c>
      <c r="Q55" s="67">
        <f t="shared" ca="1" si="57"/>
        <v>-3621498.6410531779</v>
      </c>
      <c r="R55" s="67">
        <f t="shared" ca="1" si="57"/>
        <v>-3804746.4722904689</v>
      </c>
      <c r="S55" s="67">
        <f t="shared" ref="S55" ca="1" si="58">-($M$20*S53)*(1+$M$21)^R39</f>
        <v>-3997266.6437883661</v>
      </c>
      <c r="T55" s="67">
        <f t="shared" ref="T55" ca="1" si="59">-($M$20*T53)*(1+$M$21)^S39</f>
        <v>-4199528.3359640567</v>
      </c>
      <c r="U55" s="67">
        <f t="shared" ref="U55" ca="1" si="60">-($M$20*U53)*(1+$M$21)^T39</f>
        <v>-4412024.4697638387</v>
      </c>
      <c r="V55" s="67">
        <f t="shared" ref="V55" ca="1" si="61">-($M$20*V53)*(1+$M$21)^U39</f>
        <v>-4635272.907933889</v>
      </c>
      <c r="W55" s="67">
        <f t="shared" ref="W55" ca="1" si="62">-($M$20*W53)*(1+$M$21)^V39</f>
        <v>-4869817.7170753432</v>
      </c>
      <c r="X55" s="67">
        <f t="shared" ref="X55" ca="1" si="63">-($M$20*X53)*(1+$M$21)^W39</f>
        <v>-5116230.4935593549</v>
      </c>
      <c r="Y55" s="67">
        <f t="shared" ref="Y55" ca="1" si="64">-($M$20*Y53)*(1+$M$21)^X39</f>
        <v>-5375111.7565334598</v>
      </c>
      <c r="Z55" s="67">
        <f t="shared" ref="Z55" ca="1" si="65">-($M$20*Z53)*(1+$M$21)^Y39</f>
        <v>-5647092.4114140505</v>
      </c>
      <c r="AA55" s="67">
        <f t="shared" ref="AA55" ca="1" si="66">-($M$20*AA53)*(1+$M$21)^Z39</f>
        <v>-5932835.2874316024</v>
      </c>
      <c r="AB55" s="67">
        <f t="shared" ref="AB55" ca="1" si="67">-($M$20*AB53)*(1+$M$21)^AA39</f>
        <v>-6233036.7529756427</v>
      </c>
      <c r="AC55" s="67">
        <f t="shared" ref="AC55" ca="1" si="68">-($M$20*AC53)*(1+$M$21)^AB39</f>
        <v>-6548428.4126762077</v>
      </c>
      <c r="AD55" s="67">
        <f t="shared" ref="AD55" ca="1" si="69">-($M$20*AD53)*(1+$M$21)^AC39</f>
        <v>-6879778.8903576238</v>
      </c>
      <c r="AE55" s="67">
        <f t="shared" ref="AE55" ca="1" si="70">-($M$20*AE53)*(1+$M$21)^AD39</f>
        <v>-7227895.7022097204</v>
      </c>
      <c r="AF55" s="67">
        <f t="shared" ref="AF55" ca="1" si="71">-($M$20*AF53)*(1+$M$21)^AE39</f>
        <v>-7593627.2247415315</v>
      </c>
      <c r="AG55" s="67">
        <f t="shared" ref="AG55" ca="1" si="72">-($M$20*AG53)*(1+$M$21)^AF39</f>
        <v>-7977864.7623134516</v>
      </c>
      <c r="AH55" s="67">
        <f t="shared" ref="AH55" ca="1" si="73">-($M$20*AH53)*(1+$M$21)^AG39</f>
        <v>-8381544.7192865163</v>
      </c>
      <c r="AI55" s="67">
        <f t="shared" ref="AI55" ca="1" si="74">-($M$20*AI53)*(1+$M$21)^AH39</f>
        <v>-8805650.8820824083</v>
      </c>
      <c r="AJ55" s="67">
        <f t="shared" ref="AJ55" ca="1" si="75">-($M$20*AJ53)*(1+$M$21)^AI39</f>
        <v>-9251216.8167157844</v>
      </c>
      <c r="AK55" s="67">
        <f t="shared" ref="AK55" ca="1" si="76">-($M$20*AK53)*(1+$M$21)^AJ39</f>
        <v>-9719328.3876415994</v>
      </c>
    </row>
    <row r="56" spans="2:37">
      <c r="B56" s="63" t="s">
        <v>728</v>
      </c>
      <c r="H56" s="67">
        <f ca="1">-(H50*$M$22)*(1+$M$21)^G39</f>
        <v>-122868</v>
      </c>
      <c r="I56" s="67">
        <f t="shared" ref="I56:AK56" ca="1" si="77">-(I50*$M$22)*(1+$M$21)^H39</f>
        <v>-341292.03264000005</v>
      </c>
      <c r="J56" s="67">
        <f t="shared" ca="1" si="77"/>
        <v>-358561.409491584</v>
      </c>
      <c r="K56" s="67">
        <f t="shared" ca="1" si="77"/>
        <v>-376704.6168118582</v>
      </c>
      <c r="L56" s="67">
        <f t="shared" ca="1" si="77"/>
        <v>-395765.87042253814</v>
      </c>
      <c r="M56" s="67">
        <f t="shared" ca="1" si="77"/>
        <v>-415791.62346591859</v>
      </c>
      <c r="N56" s="67">
        <f t="shared" ca="1" si="77"/>
        <v>-436830.67961329408</v>
      </c>
      <c r="O56" s="67">
        <f t="shared" ca="1" si="77"/>
        <v>-458934.31200172671</v>
      </c>
      <c r="P56" s="67">
        <f t="shared" ca="1" si="77"/>
        <v>-482156.38818901411</v>
      </c>
      <c r="Q56" s="67">
        <f t="shared" ca="1" si="77"/>
        <v>-506553.50143137819</v>
      </c>
      <c r="R56" s="67">
        <f t="shared" ca="1" si="77"/>
        <v>-532185.10860380589</v>
      </c>
      <c r="S56" s="67">
        <f t="shared" ca="1" si="77"/>
        <v>-559113.67509915854</v>
      </c>
      <c r="T56" s="67">
        <f t="shared" ca="1" si="77"/>
        <v>-587404.82705917582</v>
      </c>
      <c r="U56" s="67">
        <f t="shared" ca="1" si="77"/>
        <v>-617127.51130837016</v>
      </c>
      <c r="V56" s="67">
        <f t="shared" ca="1" si="77"/>
        <v>-648354.16338057385</v>
      </c>
      <c r="W56" s="67">
        <f t="shared" ca="1" si="77"/>
        <v>-681160.88404763071</v>
      </c>
      <c r="X56" s="67">
        <f t="shared" ca="1" si="77"/>
        <v>-715627.6247804407</v>
      </c>
      <c r="Y56" s="67">
        <f t="shared" ca="1" si="77"/>
        <v>-751838.38259433117</v>
      </c>
      <c r="Z56" s="67">
        <f t="shared" ca="1" si="77"/>
        <v>-789881.40475360409</v>
      </c>
      <c r="AA56" s="67">
        <f t="shared" ca="1" si="77"/>
        <v>-829849.40383413667</v>
      </c>
      <c r="AB56" s="67">
        <f t="shared" ca="1" si="77"/>
        <v>-871839.78366814391</v>
      </c>
      <c r="AC56" s="67">
        <f t="shared" ca="1" si="77"/>
        <v>-915954.87672175188</v>
      </c>
      <c r="AD56" s="67">
        <f t="shared" ca="1" si="77"/>
        <v>-962302.19348387246</v>
      </c>
      <c r="AE56" s="67">
        <f t="shared" ca="1" si="77"/>
        <v>-1010994.6844741564</v>
      </c>
      <c r="AF56" s="67">
        <f t="shared" ca="1" si="77"/>
        <v>-1062151.0155085486</v>
      </c>
      <c r="AG56" s="67">
        <f t="shared" ca="1" si="77"/>
        <v>-1115895.8568932812</v>
      </c>
      <c r="AH56" s="67">
        <f t="shared" ca="1" si="77"/>
        <v>-1172360.1872520815</v>
      </c>
      <c r="AI56" s="67">
        <f t="shared" ca="1" si="77"/>
        <v>-1231681.6127270362</v>
      </c>
      <c r="AJ56" s="67">
        <f t="shared" ca="1" si="77"/>
        <v>-1294004.7023310249</v>
      </c>
      <c r="AK56" s="67">
        <f t="shared" ca="1" si="77"/>
        <v>-1359481.3402689744</v>
      </c>
    </row>
    <row r="57" spans="2:37">
      <c r="B57" s="63" t="s">
        <v>523</v>
      </c>
      <c r="H57" s="67">
        <f t="shared" ref="H57:AK57" ca="1" si="78">-H53*$M$23</f>
        <v>-58888.380000000005</v>
      </c>
      <c r="I57" s="67">
        <f t="shared" ca="1" si="78"/>
        <v>-159476.87760000001</v>
      </c>
      <c r="J57" s="67">
        <f t="shared" ca="1" si="78"/>
        <v>-164261.18392799998</v>
      </c>
      <c r="K57" s="67">
        <f t="shared" ca="1" si="78"/>
        <v>-169189.01944584001</v>
      </c>
      <c r="L57" s="67">
        <f t="shared" ca="1" si="78"/>
        <v>-174264.69002921518</v>
      </c>
      <c r="M57" s="67">
        <f t="shared" ca="1" si="78"/>
        <v>-179492.63073009162</v>
      </c>
      <c r="N57" s="67">
        <f t="shared" ca="1" si="78"/>
        <v>-184877.40965199439</v>
      </c>
      <c r="O57" s="67">
        <f t="shared" ca="1" si="78"/>
        <v>-190423.7319415542</v>
      </c>
      <c r="P57" s="67">
        <f t="shared" ca="1" si="78"/>
        <v>-196136.44389980086</v>
      </c>
      <c r="Q57" s="67">
        <f t="shared" ca="1" si="78"/>
        <v>-202020.53721679488</v>
      </c>
      <c r="R57" s="67">
        <f t="shared" ca="1" si="78"/>
        <v>-208081.15333329872</v>
      </c>
      <c r="S57" s="67">
        <f t="shared" ca="1" si="78"/>
        <v>-214323.58793329773</v>
      </c>
      <c r="T57" s="67">
        <f t="shared" ca="1" si="78"/>
        <v>-220753.29557129656</v>
      </c>
      <c r="U57" s="67">
        <f t="shared" ca="1" si="78"/>
        <v>-227375.89443843547</v>
      </c>
      <c r="V57" s="67">
        <f t="shared" ca="1" si="78"/>
        <v>-234197.1712715886</v>
      </c>
      <c r="W57" s="67">
        <f t="shared" ca="1" si="78"/>
        <v>-241223.08640973625</v>
      </c>
      <c r="X57" s="67">
        <f t="shared" ca="1" si="78"/>
        <v>-248459.77900202826</v>
      </c>
      <c r="Y57" s="67">
        <f t="shared" ca="1" si="78"/>
        <v>-255913.57237208914</v>
      </c>
      <c r="Z57" s="67">
        <f t="shared" ca="1" si="78"/>
        <v>-263590.9795432518</v>
      </c>
      <c r="AA57" s="67">
        <f t="shared" ca="1" si="78"/>
        <v>-271498.70892954932</v>
      </c>
      <c r="AB57" s="67">
        <f t="shared" ca="1" si="78"/>
        <v>-279643.67019743583</v>
      </c>
      <c r="AC57" s="67">
        <f t="shared" ca="1" si="78"/>
        <v>-288032.98030335887</v>
      </c>
      <c r="AD57" s="67">
        <f t="shared" ca="1" si="78"/>
        <v>-296673.96971245966</v>
      </c>
      <c r="AE57" s="67">
        <f t="shared" ca="1" si="78"/>
        <v>-305574.18880383344</v>
      </c>
      <c r="AF57" s="67">
        <f t="shared" ca="1" si="78"/>
        <v>-314741.41446794843</v>
      </c>
      <c r="AG57" s="67">
        <f t="shared" ca="1" si="78"/>
        <v>-324183.6569019868</v>
      </c>
      <c r="AH57" s="67">
        <f t="shared" ca="1" si="78"/>
        <v>-333909.16660904652</v>
      </c>
      <c r="AI57" s="67">
        <f t="shared" ca="1" si="78"/>
        <v>-343926.44160731777</v>
      </c>
      <c r="AJ57" s="67">
        <f t="shared" ca="1" si="78"/>
        <v>-354244.23485553748</v>
      </c>
      <c r="AK57" s="67">
        <f t="shared" ca="1" si="78"/>
        <v>-364871.56190120353</v>
      </c>
    </row>
    <row r="58" spans="2:37">
      <c r="B58" s="84" t="s">
        <v>524</v>
      </c>
      <c r="C58" s="84"/>
      <c r="D58" s="84"/>
      <c r="E58" s="84"/>
      <c r="F58" s="84"/>
      <c r="G58" s="84"/>
      <c r="H58" s="85">
        <f t="shared" ref="H58:R58" ca="1" si="79">SUM(H53:H57)</f>
        <v>1879336.92</v>
      </c>
      <c r="I58" s="85">
        <f t="shared" ca="1" si="79"/>
        <v>5033078.7424800005</v>
      </c>
      <c r="J58" s="85">
        <f t="shared" ca="1" si="79"/>
        <v>5126776.566600048</v>
      </c>
      <c r="K58" s="85">
        <f t="shared" ca="1" si="79"/>
        <v>5220386.2218130874</v>
      </c>
      <c r="L58" s="85">
        <f t="shared" ca="1" si="79"/>
        <v>5313758.3684081975</v>
      </c>
      <c r="M58" s="85">
        <f t="shared" ca="1" si="79"/>
        <v>5406731.7637341619</v>
      </c>
      <c r="N58" s="85">
        <f t="shared" ca="1" si="79"/>
        <v>5499132.5295201559</v>
      </c>
      <c r="O58" s="85">
        <f t="shared" ca="1" si="79"/>
        <v>5590773.3782111555</v>
      </c>
      <c r="P58" s="85">
        <f t="shared" ca="1" si="79"/>
        <v>5681452.7961268341</v>
      </c>
      <c r="Q58" s="85">
        <f t="shared" ca="1" si="79"/>
        <v>5770954.1811383925</v>
      </c>
      <c r="R58" s="85">
        <f t="shared" ca="1" si="79"/>
        <v>5859044.9324373612</v>
      </c>
      <c r="S58" s="85">
        <f t="shared" ref="S58" ca="1" si="80">SUM(S53:S57)</f>
        <v>5945475.4898440633</v>
      </c>
      <c r="T58" s="85">
        <f t="shared" ref="T58" ca="1" si="81">SUM(T53:T57)</f>
        <v>6029978.3199702986</v>
      </c>
      <c r="U58" s="85">
        <f t="shared" ref="U58" ca="1" si="82">SUM(U53:U57)</f>
        <v>6112266.8464111295</v>
      </c>
      <c r="V58" s="85">
        <f t="shared" ref="V58" ca="1" si="83">SUM(V53:V57)</f>
        <v>6192034.3209933778</v>
      </c>
      <c r="W58" s="85">
        <f t="shared" ref="W58" ca="1" si="84">SUM(W53:W57)</f>
        <v>6268952.632954102</v>
      </c>
      <c r="X58" s="85">
        <f t="shared" ref="X58" ca="1" si="85">SUM(X53:X57)</f>
        <v>6342671.0527595887</v>
      </c>
      <c r="Y58" s="85">
        <f t="shared" ref="Y58" ca="1" si="86">SUM(Y53:Y57)</f>
        <v>6412814.9071045769</v>
      </c>
      <c r="Z58" s="85">
        <f t="shared" ref="Z58" ca="1" si="87">SUM(Z53:Z57)</f>
        <v>6478984.181451682</v>
      </c>
      <c r="AA58" s="85">
        <f t="shared" ref="AA58" ca="1" si="88">SUM(AA53:AA57)</f>
        <v>6540752.0462821787</v>
      </c>
      <c r="AB58" s="85">
        <f t="shared" ref="AB58" ca="1" si="89">SUM(AB53:AB57)</f>
        <v>6597663.30303057</v>
      </c>
      <c r="AC58" s="85">
        <f t="shared" ref="AC58" ca="1" si="90">SUM(AC53:AC57)</f>
        <v>6649232.7454666253</v>
      </c>
      <c r="AD58" s="85">
        <f t="shared" ref="AD58" ca="1" si="91">SUM(AD53:AD57)</f>
        <v>6694943.4320690259</v>
      </c>
      <c r="AE58" s="85">
        <f t="shared" ref="AE58" ca="1" si="92">SUM(AE53:AE57)</f>
        <v>6734244.8647039626</v>
      </c>
      <c r="AF58" s="85">
        <f t="shared" ref="AF58" ca="1" si="93">SUM(AF53:AF57)</f>
        <v>6766551.0686793923</v>
      </c>
      <c r="AG58" s="85">
        <f t="shared" ref="AG58" ca="1" si="94">SUM(AG53:AG57)</f>
        <v>6791238.5689906217</v>
      </c>
      <c r="AH58" s="85">
        <f t="shared" ref="AH58" ca="1" si="95">SUM(AH53:AH57)</f>
        <v>6807644.2573046815</v>
      </c>
      <c r="AI58" s="85">
        <f t="shared" ref="AI58" ca="1" si="96">SUM(AI53:AI57)</f>
        <v>6815063.1439491259</v>
      </c>
      <c r="AJ58" s="85">
        <f t="shared" ref="AJ58" ca="1" si="97">SUM(AJ53:AJ57)</f>
        <v>6812745.9888745276</v>
      </c>
      <c r="AK58" s="85">
        <f t="shared" ref="AK58" ca="1" si="98">SUM(AK53:AK57)</f>
        <v>6799896.8052484002</v>
      </c>
    </row>
    <row r="60" spans="2:37">
      <c r="B60" s="63" t="s">
        <v>525</v>
      </c>
      <c r="H60" s="67">
        <f t="shared" ref="H60:AK60" si="99">IF(H39=$M$26,I58/$M$28,0)</f>
        <v>0</v>
      </c>
      <c r="I60" s="67">
        <f t="shared" si="99"/>
        <v>0</v>
      </c>
      <c r="J60" s="67">
        <f t="shared" si="99"/>
        <v>0</v>
      </c>
      <c r="K60" s="67">
        <f t="shared" si="99"/>
        <v>0</v>
      </c>
      <c r="L60" s="67">
        <f t="shared" si="99"/>
        <v>0</v>
      </c>
      <c r="M60" s="67">
        <f t="shared" si="99"/>
        <v>0</v>
      </c>
      <c r="N60" s="67">
        <f t="shared" si="99"/>
        <v>0</v>
      </c>
      <c r="O60" s="67">
        <f t="shared" si="99"/>
        <v>0</v>
      </c>
      <c r="P60" s="67">
        <f t="shared" si="99"/>
        <v>0</v>
      </c>
      <c r="Q60" s="67">
        <f t="shared" ca="1" si="99"/>
        <v>104625802.36495288</v>
      </c>
      <c r="R60" s="67">
        <f t="shared" si="99"/>
        <v>0</v>
      </c>
      <c r="S60" s="67">
        <f t="shared" si="99"/>
        <v>0</v>
      </c>
      <c r="T60" s="67">
        <f t="shared" si="99"/>
        <v>0</v>
      </c>
      <c r="U60" s="67">
        <f t="shared" si="99"/>
        <v>0</v>
      </c>
      <c r="V60" s="67">
        <f t="shared" si="99"/>
        <v>0</v>
      </c>
      <c r="W60" s="67">
        <f t="shared" si="99"/>
        <v>0</v>
      </c>
      <c r="X60" s="67">
        <f t="shared" si="99"/>
        <v>0</v>
      </c>
      <c r="Y60" s="67">
        <f t="shared" si="99"/>
        <v>0</v>
      </c>
      <c r="Z60" s="67">
        <f t="shared" si="99"/>
        <v>0</v>
      </c>
      <c r="AA60" s="67">
        <f t="shared" si="99"/>
        <v>0</v>
      </c>
      <c r="AB60" s="67">
        <f t="shared" si="99"/>
        <v>0</v>
      </c>
      <c r="AC60" s="67">
        <f t="shared" si="99"/>
        <v>0</v>
      </c>
      <c r="AD60" s="67">
        <f t="shared" si="99"/>
        <v>0</v>
      </c>
      <c r="AE60" s="67">
        <f t="shared" si="99"/>
        <v>0</v>
      </c>
      <c r="AF60" s="67">
        <f t="shared" si="99"/>
        <v>0</v>
      </c>
      <c r="AG60" s="67">
        <f t="shared" si="99"/>
        <v>0</v>
      </c>
      <c r="AH60" s="67">
        <f t="shared" si="99"/>
        <v>0</v>
      </c>
      <c r="AI60" s="67">
        <f t="shared" si="99"/>
        <v>0</v>
      </c>
      <c r="AJ60" s="67">
        <f t="shared" si="99"/>
        <v>0</v>
      </c>
      <c r="AK60" s="67">
        <f t="shared" si="99"/>
        <v>0</v>
      </c>
    </row>
    <row r="61" spans="2:37">
      <c r="B61" s="78" t="s">
        <v>393</v>
      </c>
      <c r="C61" s="78"/>
      <c r="D61" s="78"/>
      <c r="E61" s="78"/>
      <c r="F61" s="78"/>
      <c r="G61" s="78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</row>
    <row r="62" spans="2:37" s="109" customFormat="1">
      <c r="B62" s="109" t="s">
        <v>526</v>
      </c>
      <c r="G62" s="110">
        <f t="shared" ref="G62:AK62" ca="1" si="100">IF(G39&lt;=$M$26,SUM(G58,G60:G61,G42),0)</f>
        <v>-119722132.6875876</v>
      </c>
      <c r="H62" s="110">
        <f t="shared" ca="1" si="100"/>
        <v>1879336.92</v>
      </c>
      <c r="I62" s="110">
        <f t="shared" ca="1" si="100"/>
        <v>5033078.7424800005</v>
      </c>
      <c r="J62" s="110">
        <f t="shared" ca="1" si="100"/>
        <v>5126776.566600048</v>
      </c>
      <c r="K62" s="110">
        <f t="shared" ca="1" si="100"/>
        <v>5220386.2218130874</v>
      </c>
      <c r="L62" s="110">
        <f t="shared" ca="1" si="100"/>
        <v>5313758.3684081975</v>
      </c>
      <c r="M62" s="110">
        <f t="shared" ca="1" si="100"/>
        <v>5406731.7637341619</v>
      </c>
      <c r="N62" s="110">
        <f t="shared" ca="1" si="100"/>
        <v>5499132.5295201559</v>
      </c>
      <c r="O62" s="110">
        <f t="shared" ca="1" si="100"/>
        <v>5590773.3782111555</v>
      </c>
      <c r="P62" s="110">
        <f t="shared" ca="1" si="100"/>
        <v>5681452.7961268341</v>
      </c>
      <c r="Q62" s="110">
        <f t="shared" ca="1" si="100"/>
        <v>110396756.54609127</v>
      </c>
      <c r="R62" s="110">
        <f t="shared" si="100"/>
        <v>0</v>
      </c>
      <c r="S62" s="110">
        <f t="shared" si="100"/>
        <v>0</v>
      </c>
      <c r="T62" s="110">
        <f t="shared" si="100"/>
        <v>0</v>
      </c>
      <c r="U62" s="110">
        <f t="shared" si="100"/>
        <v>0</v>
      </c>
      <c r="V62" s="110">
        <f t="shared" si="100"/>
        <v>0</v>
      </c>
      <c r="W62" s="110">
        <f t="shared" si="100"/>
        <v>0</v>
      </c>
      <c r="X62" s="110">
        <f t="shared" si="100"/>
        <v>0</v>
      </c>
      <c r="Y62" s="110">
        <f t="shared" si="100"/>
        <v>0</v>
      </c>
      <c r="Z62" s="110">
        <f t="shared" si="100"/>
        <v>0</v>
      </c>
      <c r="AA62" s="110">
        <f t="shared" si="100"/>
        <v>0</v>
      </c>
      <c r="AB62" s="110">
        <f t="shared" si="100"/>
        <v>0</v>
      </c>
      <c r="AC62" s="110">
        <f t="shared" si="100"/>
        <v>0</v>
      </c>
      <c r="AD62" s="110">
        <f t="shared" si="100"/>
        <v>0</v>
      </c>
      <c r="AE62" s="110">
        <f t="shared" si="100"/>
        <v>0</v>
      </c>
      <c r="AF62" s="110">
        <f t="shared" si="100"/>
        <v>0</v>
      </c>
      <c r="AG62" s="110">
        <f t="shared" si="100"/>
        <v>0</v>
      </c>
      <c r="AH62" s="110">
        <f t="shared" si="100"/>
        <v>0</v>
      </c>
      <c r="AI62" s="110">
        <f t="shared" si="100"/>
        <v>0</v>
      </c>
      <c r="AJ62" s="110">
        <f t="shared" si="100"/>
        <v>0</v>
      </c>
      <c r="AK62" s="110">
        <f t="shared" si="100"/>
        <v>0</v>
      </c>
    </row>
    <row r="63" spans="2:37" ht="16.2" thickBot="1"/>
    <row r="64" spans="2:37">
      <c r="B64" s="89" t="s">
        <v>527</v>
      </c>
      <c r="C64" s="90"/>
      <c r="D64" s="90"/>
      <c r="E64" s="90"/>
      <c r="F64" s="91">
        <f ca="1">SUM(G62:R62)</f>
        <v>35426051.145397305</v>
      </c>
    </row>
    <row r="65" spans="2:37">
      <c r="B65" s="92" t="s">
        <v>528</v>
      </c>
      <c r="F65" s="93">
        <f ca="1">NPV(M27,H62:R62)</f>
        <v>81192145.154107139</v>
      </c>
    </row>
    <row r="66" spans="2:37">
      <c r="B66" s="92" t="s">
        <v>529</v>
      </c>
      <c r="F66" s="93">
        <f ca="1">F65+G62</f>
        <v>-38529987.533480465</v>
      </c>
      <c r="G66" s="73"/>
    </row>
    <row r="67" spans="2:37">
      <c r="B67" s="92" t="s">
        <v>530</v>
      </c>
      <c r="F67" s="94">
        <f ca="1">IRR(G62:R62)</f>
        <v>3.0681023380875638E-2</v>
      </c>
    </row>
    <row r="68" spans="2:37" ht="16.2" thickBot="1">
      <c r="B68" s="95" t="s">
        <v>531</v>
      </c>
      <c r="C68" s="96"/>
      <c r="D68" s="96"/>
      <c r="E68" s="96"/>
      <c r="F68" s="97">
        <f ca="1">(F64/-G62)+1</f>
        <v>1.2959022726218956</v>
      </c>
    </row>
    <row r="70" spans="2:37">
      <c r="B70" s="63" t="s">
        <v>532</v>
      </c>
      <c r="G70" s="67">
        <f ca="1">R24</f>
        <v>83805492.881311312</v>
      </c>
    </row>
    <row r="71" spans="2:37">
      <c r="B71" s="63" t="s">
        <v>533</v>
      </c>
      <c r="H71" s="73">
        <f t="shared" ref="H71:AK71" si="101">IF(H39=$M$26,FV($R$13/12,H39*12,$R$15,$R$12,0),0)</f>
        <v>0</v>
      </c>
      <c r="I71" s="73">
        <f t="shared" si="101"/>
        <v>0</v>
      </c>
      <c r="J71" s="73">
        <f t="shared" si="101"/>
        <v>0</v>
      </c>
      <c r="K71" s="73">
        <f t="shared" si="101"/>
        <v>0</v>
      </c>
      <c r="L71" s="73">
        <f t="shared" si="101"/>
        <v>0</v>
      </c>
      <c r="M71" s="73">
        <f t="shared" si="101"/>
        <v>0</v>
      </c>
      <c r="N71" s="73">
        <f t="shared" si="101"/>
        <v>0</v>
      </c>
      <c r="O71" s="67">
        <f t="shared" si="101"/>
        <v>0</v>
      </c>
      <c r="P71" s="73">
        <f t="shared" si="101"/>
        <v>0</v>
      </c>
      <c r="Q71" s="67">
        <f t="shared" ca="1" si="101"/>
        <v>-53312955.360687435</v>
      </c>
      <c r="R71" s="73">
        <f t="shared" si="101"/>
        <v>0</v>
      </c>
      <c r="S71" s="73">
        <f t="shared" si="101"/>
        <v>0</v>
      </c>
      <c r="T71" s="73">
        <f t="shared" si="101"/>
        <v>0</v>
      </c>
      <c r="U71" s="73">
        <f t="shared" si="101"/>
        <v>0</v>
      </c>
      <c r="V71" s="73">
        <f t="shared" si="101"/>
        <v>0</v>
      </c>
      <c r="W71" s="73">
        <f t="shared" si="101"/>
        <v>0</v>
      </c>
      <c r="X71" s="73">
        <f t="shared" si="101"/>
        <v>0</v>
      </c>
      <c r="Y71" s="73">
        <f t="shared" si="101"/>
        <v>0</v>
      </c>
      <c r="Z71" s="73">
        <f t="shared" si="101"/>
        <v>0</v>
      </c>
      <c r="AA71" s="73">
        <f t="shared" si="101"/>
        <v>0</v>
      </c>
      <c r="AB71" s="73">
        <f t="shared" si="101"/>
        <v>0</v>
      </c>
      <c r="AC71" s="73">
        <f t="shared" si="101"/>
        <v>0</v>
      </c>
      <c r="AD71" s="73">
        <f t="shared" si="101"/>
        <v>0</v>
      </c>
      <c r="AE71" s="73">
        <f t="shared" si="101"/>
        <v>0</v>
      </c>
      <c r="AF71" s="73">
        <f t="shared" si="101"/>
        <v>0</v>
      </c>
      <c r="AG71" s="73">
        <f t="shared" si="101"/>
        <v>0</v>
      </c>
      <c r="AH71" s="73">
        <f t="shared" si="101"/>
        <v>0</v>
      </c>
      <c r="AI71" s="73">
        <f t="shared" si="101"/>
        <v>0</v>
      </c>
      <c r="AJ71" s="73">
        <f t="shared" si="101"/>
        <v>0</v>
      </c>
      <c r="AK71" s="73">
        <f t="shared" si="101"/>
        <v>0</v>
      </c>
    </row>
    <row r="72" spans="2:37">
      <c r="B72" s="63" t="s">
        <v>534</v>
      </c>
      <c r="H72" s="67">
        <f t="shared" ref="H72:AK72" ca="1" si="102">IF(H39&lt;=$M$26,$R$15*12,0)</f>
        <v>-6974770.9632575661</v>
      </c>
      <c r="I72" s="67">
        <f t="shared" ca="1" si="102"/>
        <v>-6974770.9632575661</v>
      </c>
      <c r="J72" s="67">
        <f t="shared" ca="1" si="102"/>
        <v>-6974770.9632575661</v>
      </c>
      <c r="K72" s="67">
        <f t="shared" ca="1" si="102"/>
        <v>-6974770.9632575661</v>
      </c>
      <c r="L72" s="67">
        <f t="shared" ca="1" si="102"/>
        <v>-6974770.9632575661</v>
      </c>
      <c r="M72" s="67">
        <f t="shared" ca="1" si="102"/>
        <v>-6974770.9632575661</v>
      </c>
      <c r="N72" s="67">
        <f t="shared" ca="1" si="102"/>
        <v>-6974770.9632575661</v>
      </c>
      <c r="O72" s="67">
        <f t="shared" ca="1" si="102"/>
        <v>-6974770.9632575661</v>
      </c>
      <c r="P72" s="67">
        <f t="shared" ca="1" si="102"/>
        <v>-6974770.9632575661</v>
      </c>
      <c r="Q72" s="67">
        <f t="shared" ca="1" si="102"/>
        <v>-6974770.9632575661</v>
      </c>
      <c r="R72" s="67">
        <f t="shared" si="102"/>
        <v>0</v>
      </c>
      <c r="S72" s="67">
        <f t="shared" si="102"/>
        <v>0</v>
      </c>
      <c r="T72" s="67">
        <f t="shared" si="102"/>
        <v>0</v>
      </c>
      <c r="U72" s="67">
        <f t="shared" si="102"/>
        <v>0</v>
      </c>
      <c r="V72" s="67">
        <f t="shared" si="102"/>
        <v>0</v>
      </c>
      <c r="W72" s="67">
        <f t="shared" si="102"/>
        <v>0</v>
      </c>
      <c r="X72" s="67">
        <f t="shared" si="102"/>
        <v>0</v>
      </c>
      <c r="Y72" s="67">
        <f t="shared" si="102"/>
        <v>0</v>
      </c>
      <c r="Z72" s="67">
        <f t="shared" si="102"/>
        <v>0</v>
      </c>
      <c r="AA72" s="67">
        <f t="shared" si="102"/>
        <v>0</v>
      </c>
      <c r="AB72" s="67">
        <f t="shared" si="102"/>
        <v>0</v>
      </c>
      <c r="AC72" s="67">
        <f t="shared" si="102"/>
        <v>0</v>
      </c>
      <c r="AD72" s="67">
        <f t="shared" si="102"/>
        <v>0</v>
      </c>
      <c r="AE72" s="67">
        <f t="shared" si="102"/>
        <v>0</v>
      </c>
      <c r="AF72" s="67">
        <f t="shared" si="102"/>
        <v>0</v>
      </c>
      <c r="AG72" s="67">
        <f t="shared" si="102"/>
        <v>0</v>
      </c>
      <c r="AH72" s="67">
        <f t="shared" si="102"/>
        <v>0</v>
      </c>
      <c r="AI72" s="67">
        <f t="shared" si="102"/>
        <v>0</v>
      </c>
      <c r="AJ72" s="67">
        <f t="shared" si="102"/>
        <v>0</v>
      </c>
      <c r="AK72" s="67">
        <f t="shared" si="102"/>
        <v>0</v>
      </c>
    </row>
    <row r="74" spans="2:37" s="109" customFormat="1">
      <c r="B74" s="109" t="s">
        <v>535</v>
      </c>
      <c r="G74" s="110">
        <f ca="1">SUM(G62,G70:G72)</f>
        <v>-35916639.806276292</v>
      </c>
      <c r="H74" s="110">
        <f t="shared" ref="H74:R74" ca="1" si="103">SUM(H62,H70:H72)</f>
        <v>-5095434.0432575662</v>
      </c>
      <c r="I74" s="110">
        <f t="shared" ca="1" si="103"/>
        <v>-1941692.2207775656</v>
      </c>
      <c r="J74" s="110">
        <f t="shared" ca="1" si="103"/>
        <v>-1847994.3966575181</v>
      </c>
      <c r="K74" s="110">
        <f t="shared" ca="1" si="103"/>
        <v>-1754384.7414444787</v>
      </c>
      <c r="L74" s="110">
        <f t="shared" ca="1" si="103"/>
        <v>-1661012.5948493686</v>
      </c>
      <c r="M74" s="110">
        <f t="shared" ca="1" si="103"/>
        <v>-1568039.1995234042</v>
      </c>
      <c r="N74" s="110">
        <f t="shared" ca="1" si="103"/>
        <v>-1475638.4337374102</v>
      </c>
      <c r="O74" s="110">
        <f t="shared" ca="1" si="103"/>
        <v>-1383997.5850464106</v>
      </c>
      <c r="P74" s="110">
        <f t="shared" ca="1" si="103"/>
        <v>-1293318.167130732</v>
      </c>
      <c r="Q74" s="110">
        <f t="shared" ca="1" si="103"/>
        <v>50109030.222146273</v>
      </c>
      <c r="R74" s="110">
        <f t="shared" si="103"/>
        <v>0</v>
      </c>
      <c r="S74" s="110">
        <f t="shared" ref="S74:AK74" si="104">SUM(S62,S70:S72)</f>
        <v>0</v>
      </c>
      <c r="T74" s="110">
        <f t="shared" si="104"/>
        <v>0</v>
      </c>
      <c r="U74" s="110">
        <f t="shared" si="104"/>
        <v>0</v>
      </c>
      <c r="V74" s="110">
        <f t="shared" si="104"/>
        <v>0</v>
      </c>
      <c r="W74" s="110">
        <f t="shared" si="104"/>
        <v>0</v>
      </c>
      <c r="X74" s="110">
        <f t="shared" si="104"/>
        <v>0</v>
      </c>
      <c r="Y74" s="110">
        <f t="shared" si="104"/>
        <v>0</v>
      </c>
      <c r="Z74" s="110">
        <f t="shared" si="104"/>
        <v>0</v>
      </c>
      <c r="AA74" s="110">
        <f t="shared" si="104"/>
        <v>0</v>
      </c>
      <c r="AB74" s="110">
        <f t="shared" si="104"/>
        <v>0</v>
      </c>
      <c r="AC74" s="110">
        <f t="shared" si="104"/>
        <v>0</v>
      </c>
      <c r="AD74" s="110">
        <f t="shared" si="104"/>
        <v>0</v>
      </c>
      <c r="AE74" s="110">
        <f t="shared" si="104"/>
        <v>0</v>
      </c>
      <c r="AF74" s="110">
        <f t="shared" si="104"/>
        <v>0</v>
      </c>
      <c r="AG74" s="110">
        <f t="shared" si="104"/>
        <v>0</v>
      </c>
      <c r="AH74" s="110">
        <f t="shared" si="104"/>
        <v>0</v>
      </c>
      <c r="AI74" s="110">
        <f t="shared" si="104"/>
        <v>0</v>
      </c>
      <c r="AJ74" s="110">
        <f t="shared" si="104"/>
        <v>0</v>
      </c>
      <c r="AK74" s="110">
        <f t="shared" si="104"/>
        <v>0</v>
      </c>
    </row>
    <row r="75" spans="2:37" ht="16.2" thickBot="1"/>
    <row r="76" spans="2:37">
      <c r="B76" s="89" t="str">
        <f>B64</f>
        <v>Profit</v>
      </c>
      <c r="C76" s="90"/>
      <c r="D76" s="90"/>
      <c r="E76" s="90"/>
      <c r="F76" s="91">
        <f ca="1">SUM(G74:R74)</f>
        <v>-3829120.9665544704</v>
      </c>
    </row>
    <row r="77" spans="2:37">
      <c r="B77" s="92" t="str">
        <f t="shared" ref="B77:B80" si="105">B65</f>
        <v>PV</v>
      </c>
      <c r="F77" s="93">
        <f ca="1">NPV($M$27,H74:R74)</f>
        <v>9696650.4980557747</v>
      </c>
    </row>
    <row r="78" spans="2:37">
      <c r="B78" s="92" t="str">
        <f t="shared" si="105"/>
        <v>NPV</v>
      </c>
      <c r="F78" s="93">
        <f ca="1">F77+G74</f>
        <v>-26219989.308220517</v>
      </c>
    </row>
    <row r="79" spans="2:37">
      <c r="B79" s="92" t="s">
        <v>536</v>
      </c>
      <c r="F79" s="98">
        <f ca="1">IRR(G74:R74)</f>
        <v>-8.4927264664244051E-3</v>
      </c>
    </row>
    <row r="80" spans="2:37" ht="16.2" thickBot="1">
      <c r="B80" s="95" t="str">
        <f t="shared" si="105"/>
        <v>Equity Multiple</v>
      </c>
      <c r="C80" s="96"/>
      <c r="D80" s="96"/>
      <c r="E80" s="96"/>
      <c r="F80" s="97">
        <f ca="1">(F76/-G74)+1</f>
        <v>0.8933886636609768</v>
      </c>
    </row>
    <row r="82" spans="1:37">
      <c r="A82" s="63" t="s">
        <v>472</v>
      </c>
      <c r="B82" s="64" t="s">
        <v>537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</row>
    <row r="83" spans="1:37">
      <c r="B83" s="63" t="s">
        <v>538</v>
      </c>
      <c r="H83" s="99">
        <f ca="1">-H62/$G$62</f>
        <v>1.5697489493476449E-2</v>
      </c>
      <c r="I83" s="99">
        <f t="shared" ref="I83:R83" ca="1" si="106">-I62/$G$62</f>
        <v>4.2039668267635305E-2</v>
      </c>
      <c r="J83" s="99">
        <f t="shared" ca="1" si="106"/>
        <v>4.282229569012326E-2</v>
      </c>
      <c r="K83" s="99">
        <f t="shared" ca="1" si="106"/>
        <v>4.3604186666433481E-2</v>
      </c>
      <c r="L83" s="99">
        <f t="shared" ca="1" si="106"/>
        <v>4.4384093810576682E-2</v>
      </c>
      <c r="M83" s="99">
        <f t="shared" ca="1" si="106"/>
        <v>4.5160670315178189E-2</v>
      </c>
      <c r="N83" s="99">
        <f t="shared" ca="1" si="106"/>
        <v>4.5932463831646127E-2</v>
      </c>
      <c r="O83" s="99">
        <f t="shared" ca="1" si="106"/>
        <v>4.6697910008002962E-2</v>
      </c>
      <c r="P83" s="99">
        <f t="shared" ca="1" si="106"/>
        <v>4.7455325666077686E-2</v>
      </c>
      <c r="Q83" s="99">
        <f t="shared" ca="1" si="106"/>
        <v>0.92210816887274549</v>
      </c>
      <c r="R83" s="99">
        <f t="shared" ca="1" si="106"/>
        <v>0</v>
      </c>
      <c r="S83" s="99">
        <f t="shared" ref="S83:AK83" ca="1" si="107">-S62/$G$62</f>
        <v>0</v>
      </c>
      <c r="T83" s="99">
        <f t="shared" ca="1" si="107"/>
        <v>0</v>
      </c>
      <c r="U83" s="99">
        <f t="shared" ca="1" si="107"/>
        <v>0</v>
      </c>
      <c r="V83" s="99">
        <f t="shared" ca="1" si="107"/>
        <v>0</v>
      </c>
      <c r="W83" s="99">
        <f t="shared" ca="1" si="107"/>
        <v>0</v>
      </c>
      <c r="X83" s="99">
        <f t="shared" ca="1" si="107"/>
        <v>0</v>
      </c>
      <c r="Y83" s="99">
        <f t="shared" ca="1" si="107"/>
        <v>0</v>
      </c>
      <c r="Z83" s="99">
        <f t="shared" ca="1" si="107"/>
        <v>0</v>
      </c>
      <c r="AA83" s="99">
        <f t="shared" ca="1" si="107"/>
        <v>0</v>
      </c>
      <c r="AB83" s="99">
        <f t="shared" ca="1" si="107"/>
        <v>0</v>
      </c>
      <c r="AC83" s="99">
        <f t="shared" ca="1" si="107"/>
        <v>0</v>
      </c>
      <c r="AD83" s="99">
        <f t="shared" ca="1" si="107"/>
        <v>0</v>
      </c>
      <c r="AE83" s="99">
        <f t="shared" ca="1" si="107"/>
        <v>0</v>
      </c>
      <c r="AF83" s="99">
        <f t="shared" ca="1" si="107"/>
        <v>0</v>
      </c>
      <c r="AG83" s="99">
        <f t="shared" ca="1" si="107"/>
        <v>0</v>
      </c>
      <c r="AH83" s="99">
        <f t="shared" ca="1" si="107"/>
        <v>0</v>
      </c>
      <c r="AI83" s="99">
        <f t="shared" ca="1" si="107"/>
        <v>0</v>
      </c>
      <c r="AJ83" s="99">
        <f t="shared" ca="1" si="107"/>
        <v>0</v>
      </c>
      <c r="AK83" s="99">
        <f t="shared" ca="1" si="107"/>
        <v>0</v>
      </c>
    </row>
    <row r="84" spans="1:37">
      <c r="B84" s="63" t="s">
        <v>539</v>
      </c>
      <c r="H84" s="99">
        <f ca="1">-H74/$G$74</f>
        <v>-0.14186833931962531</v>
      </c>
      <c r="I84" s="99">
        <f t="shared" ref="I84:R84" ca="1" si="108">-I74/$G$74</f>
        <v>-5.4061076739095805E-2</v>
      </c>
      <c r="J84" s="99">
        <f t="shared" ca="1" si="108"/>
        <v>-5.1452318664135958E-2</v>
      </c>
      <c r="K84" s="99">
        <f t="shared" ca="1" si="108"/>
        <v>-4.8846015409768566E-2</v>
      </c>
      <c r="L84" s="99">
        <f t="shared" ca="1" si="108"/>
        <v>-4.6246324929291219E-2</v>
      </c>
      <c r="M84" s="99">
        <f t="shared" ca="1" si="108"/>
        <v>-4.3657736580619534E-2</v>
      </c>
      <c r="N84" s="99">
        <f t="shared" ca="1" si="108"/>
        <v>-4.1085091525726418E-2</v>
      </c>
      <c r="O84" s="99">
        <f t="shared" ca="1" si="108"/>
        <v>-3.8533604271203635E-2</v>
      </c>
      <c r="P84" s="99">
        <f t="shared" ca="1" si="108"/>
        <v>-3.6008885410954553E-2</v>
      </c>
      <c r="Q84" s="99">
        <f t="shared" ca="1" si="108"/>
        <v>1.3951480565113976</v>
      </c>
      <c r="R84" s="99">
        <f t="shared" ca="1" si="108"/>
        <v>0</v>
      </c>
      <c r="S84" s="99">
        <f t="shared" ref="S84:AK84" ca="1" si="109">-S74/$G$74</f>
        <v>0</v>
      </c>
      <c r="T84" s="99">
        <f t="shared" ca="1" si="109"/>
        <v>0</v>
      </c>
      <c r="U84" s="99">
        <f t="shared" ca="1" si="109"/>
        <v>0</v>
      </c>
      <c r="V84" s="99">
        <f t="shared" ca="1" si="109"/>
        <v>0</v>
      </c>
      <c r="W84" s="99">
        <f t="shared" ca="1" si="109"/>
        <v>0</v>
      </c>
      <c r="X84" s="99">
        <f t="shared" ca="1" si="109"/>
        <v>0</v>
      </c>
      <c r="Y84" s="99">
        <f t="shared" ca="1" si="109"/>
        <v>0</v>
      </c>
      <c r="Z84" s="99">
        <f t="shared" ca="1" si="109"/>
        <v>0</v>
      </c>
      <c r="AA84" s="99">
        <f t="shared" ca="1" si="109"/>
        <v>0</v>
      </c>
      <c r="AB84" s="99">
        <f t="shared" ca="1" si="109"/>
        <v>0</v>
      </c>
      <c r="AC84" s="99">
        <f t="shared" ca="1" si="109"/>
        <v>0</v>
      </c>
      <c r="AD84" s="99">
        <f t="shared" ca="1" si="109"/>
        <v>0</v>
      </c>
      <c r="AE84" s="99">
        <f t="shared" ca="1" si="109"/>
        <v>0</v>
      </c>
      <c r="AF84" s="99">
        <f t="shared" ca="1" si="109"/>
        <v>0</v>
      </c>
      <c r="AG84" s="99">
        <f t="shared" ca="1" si="109"/>
        <v>0</v>
      </c>
      <c r="AH84" s="99">
        <f t="shared" ca="1" si="109"/>
        <v>0</v>
      </c>
      <c r="AI84" s="99">
        <f t="shared" ca="1" si="109"/>
        <v>0</v>
      </c>
      <c r="AJ84" s="99">
        <f t="shared" ca="1" si="109"/>
        <v>0</v>
      </c>
      <c r="AK84" s="99">
        <f t="shared" ca="1" si="109"/>
        <v>0</v>
      </c>
    </row>
    <row r="85" spans="1:37">
      <c r="B85" s="63" t="s">
        <v>540</v>
      </c>
      <c r="H85" s="67">
        <f t="shared" ref="H85:R85" ca="1" si="110">-CUMPRINC($R$13/12,$R$14*12,$R$12,H39*12-11,H39*12,0)</f>
        <v>2341146.667134135</v>
      </c>
      <c r="I85" s="67">
        <f t="shared" ca="1" si="110"/>
        <v>2475668.7869518967</v>
      </c>
      <c r="J85" s="67">
        <f t="shared" ca="1" si="110"/>
        <v>2617920.5381397489</v>
      </c>
      <c r="K85" s="67">
        <f t="shared" ca="1" si="110"/>
        <v>2768346.0647626114</v>
      </c>
      <c r="L85" s="67">
        <f t="shared" ca="1" si="110"/>
        <v>2927415.0313715655</v>
      </c>
      <c r="M85" s="67">
        <f t="shared" ca="1" si="110"/>
        <v>3095624.0894091572</v>
      </c>
      <c r="N85" s="67">
        <f t="shared" ca="1" si="110"/>
        <v>3273498.4278742517</v>
      </c>
      <c r="O85" s="67">
        <f t="shared" ca="1" si="110"/>
        <v>3461593.4130879757</v>
      </c>
      <c r="P85" s="67">
        <f t="shared" ca="1" si="110"/>
        <v>3660496.3226804878</v>
      </c>
      <c r="Q85" s="67">
        <f t="shared" ca="1" si="110"/>
        <v>3870828.1792125185</v>
      </c>
      <c r="R85" s="67">
        <f t="shared" ca="1" si="110"/>
        <v>4093245.6891566571</v>
      </c>
      <c r="S85" s="67">
        <f t="shared" ref="S85:AK85" ca="1" si="111">-CUMPRINC($R$13/12,$R$14*12,$R$12,S39*12-11,S39*12,0)</f>
        <v>4328443.2932923725</v>
      </c>
      <c r="T85" s="67">
        <f t="shared" ca="1" si="111"/>
        <v>4577155.3349165907</v>
      </c>
      <c r="U85" s="67">
        <f t="shared" ca="1" si="111"/>
        <v>4840158.3526394749</v>
      </c>
      <c r="V85" s="67">
        <f t="shared" ca="1" si="111"/>
        <v>5118273.5049241213</v>
      </c>
      <c r="W85" s="67">
        <f t="shared" ca="1" si="111"/>
        <v>5412369.1339401016</v>
      </c>
      <c r="X85" s="67">
        <f t="shared" ca="1" si="111"/>
        <v>5723363.4767358508</v>
      </c>
      <c r="Y85" s="67">
        <f t="shared" ca="1" si="111"/>
        <v>6052227.5321948538</v>
      </c>
      <c r="Z85" s="67">
        <f t="shared" ca="1" si="111"/>
        <v>6399988.0927268863</v>
      </c>
      <c r="AA85" s="67">
        <f t="shared" ca="1" si="111"/>
        <v>6767730.9501600573</v>
      </c>
      <c r="AB85" s="67" t="e">
        <f t="shared" ca="1" si="111"/>
        <v>#NUM!</v>
      </c>
      <c r="AC85" s="67" t="e">
        <f t="shared" ca="1" si="111"/>
        <v>#NUM!</v>
      </c>
      <c r="AD85" s="67" t="e">
        <f t="shared" ca="1" si="111"/>
        <v>#NUM!</v>
      </c>
      <c r="AE85" s="67" t="e">
        <f t="shared" ca="1" si="111"/>
        <v>#NUM!</v>
      </c>
      <c r="AF85" s="67" t="e">
        <f t="shared" ca="1" si="111"/>
        <v>#NUM!</v>
      </c>
      <c r="AG85" s="67" t="e">
        <f t="shared" ca="1" si="111"/>
        <v>#NUM!</v>
      </c>
      <c r="AH85" s="67" t="e">
        <f t="shared" ca="1" si="111"/>
        <v>#NUM!</v>
      </c>
      <c r="AI85" s="67" t="e">
        <f t="shared" ca="1" si="111"/>
        <v>#NUM!</v>
      </c>
      <c r="AJ85" s="67" t="e">
        <f t="shared" ca="1" si="111"/>
        <v>#NUM!</v>
      </c>
      <c r="AK85" s="67" t="e">
        <f t="shared" ca="1" si="111"/>
        <v>#NUM!</v>
      </c>
    </row>
    <row r="86" spans="1:37">
      <c r="B86" s="63" t="s">
        <v>541</v>
      </c>
      <c r="H86" s="99">
        <f t="shared" ref="H86:AK86" ca="1" si="112">IF(H39&lt;=$M$26,(H85+H74)/-$G$74,0)</f>
        <v>-7.6685552740435647E-2</v>
      </c>
      <c r="I86" s="99">
        <f t="shared" ca="1" si="112"/>
        <v>1.4867108088463799E-2</v>
      </c>
      <c r="J86" s="99">
        <f t="shared" ca="1" si="112"/>
        <v>2.1436474726894948E-2</v>
      </c>
      <c r="K86" s="99">
        <f t="shared" ca="1" si="112"/>
        <v>2.8230962829127099E-2</v>
      </c>
      <c r="L86" s="99">
        <f t="shared" ca="1" si="112"/>
        <v>3.5259490958864645E-2</v>
      </c>
      <c r="M86" s="99">
        <f t="shared" ca="1" si="112"/>
        <v>4.2531397650924278E-2</v>
      </c>
      <c r="N86" s="99">
        <f t="shared" ca="1" si="112"/>
        <v>5.0056464185791467E-2</v>
      </c>
      <c r="O86" s="99">
        <f t="shared" ca="1" si="112"/>
        <v>5.784493870382923E-2</v>
      </c>
      <c r="P86" s="99">
        <f t="shared" ca="1" si="112"/>
        <v>6.5907561740675441E-2</v>
      </c>
      <c r="Q86" s="99">
        <f t="shared" ca="1" si="112"/>
        <v>1.5029206154169807</v>
      </c>
      <c r="R86" s="99">
        <f t="shared" si="112"/>
        <v>0</v>
      </c>
      <c r="S86" s="99">
        <f t="shared" si="112"/>
        <v>0</v>
      </c>
      <c r="T86" s="99">
        <f t="shared" si="112"/>
        <v>0</v>
      </c>
      <c r="U86" s="99">
        <f t="shared" si="112"/>
        <v>0</v>
      </c>
      <c r="V86" s="99">
        <f t="shared" si="112"/>
        <v>0</v>
      </c>
      <c r="W86" s="99">
        <f t="shared" si="112"/>
        <v>0</v>
      </c>
      <c r="X86" s="99">
        <f t="shared" si="112"/>
        <v>0</v>
      </c>
      <c r="Y86" s="99">
        <f t="shared" si="112"/>
        <v>0</v>
      </c>
      <c r="Z86" s="99">
        <f t="shared" si="112"/>
        <v>0</v>
      </c>
      <c r="AA86" s="99">
        <f t="shared" si="112"/>
        <v>0</v>
      </c>
      <c r="AB86" s="99">
        <f t="shared" si="112"/>
        <v>0</v>
      </c>
      <c r="AC86" s="99">
        <f t="shared" si="112"/>
        <v>0</v>
      </c>
      <c r="AD86" s="99">
        <f t="shared" si="112"/>
        <v>0</v>
      </c>
      <c r="AE86" s="99">
        <f t="shared" si="112"/>
        <v>0</v>
      </c>
      <c r="AF86" s="99">
        <f t="shared" si="112"/>
        <v>0</v>
      </c>
      <c r="AG86" s="99">
        <f t="shared" si="112"/>
        <v>0</v>
      </c>
      <c r="AH86" s="99">
        <f t="shared" si="112"/>
        <v>0</v>
      </c>
      <c r="AI86" s="99">
        <f t="shared" si="112"/>
        <v>0</v>
      </c>
      <c r="AJ86" s="99">
        <f t="shared" si="112"/>
        <v>0</v>
      </c>
      <c r="AK86" s="99">
        <f t="shared" si="112"/>
        <v>0</v>
      </c>
    </row>
    <row r="87" spans="1:37">
      <c r="B87" s="63" t="s">
        <v>491</v>
      </c>
      <c r="H87" s="76">
        <f t="shared" ref="H87:AK87" ca="1" si="113">IF(H39&lt;=$M$26,H58/-H72,0)</f>
        <v>0.26944783275324297</v>
      </c>
      <c r="I87" s="76">
        <f t="shared" ca="1" si="113"/>
        <v>0.72161204561322279</v>
      </c>
      <c r="J87" s="76">
        <f t="shared" ca="1" si="113"/>
        <v>0.73504586653919135</v>
      </c>
      <c r="K87" s="76">
        <f t="shared" ca="1" si="113"/>
        <v>0.74846704634655226</v>
      </c>
      <c r="L87" s="76">
        <f t="shared" ca="1" si="113"/>
        <v>0.76185417362097974</v>
      </c>
      <c r="M87" s="76">
        <f t="shared" ca="1" si="113"/>
        <v>0.77518413037737199</v>
      </c>
      <c r="N87" s="76">
        <f t="shared" ca="1" si="113"/>
        <v>0.78843198701277306</v>
      </c>
      <c r="O87" s="76">
        <f t="shared" ca="1" si="113"/>
        <v>0.80157089138307491</v>
      </c>
      <c r="P87" s="76">
        <f t="shared" ca="1" si="113"/>
        <v>0.81457195168933716</v>
      </c>
      <c r="Q87" s="76">
        <f t="shared" ca="1" si="113"/>
        <v>0.82740411284316484</v>
      </c>
      <c r="R87" s="76">
        <f t="shared" si="113"/>
        <v>0</v>
      </c>
      <c r="S87" s="76">
        <f t="shared" si="113"/>
        <v>0</v>
      </c>
      <c r="T87" s="76">
        <f t="shared" si="113"/>
        <v>0</v>
      </c>
      <c r="U87" s="76">
        <f t="shared" si="113"/>
        <v>0</v>
      </c>
      <c r="V87" s="76">
        <f t="shared" si="113"/>
        <v>0</v>
      </c>
      <c r="W87" s="76">
        <f t="shared" si="113"/>
        <v>0</v>
      </c>
      <c r="X87" s="76">
        <f t="shared" si="113"/>
        <v>0</v>
      </c>
      <c r="Y87" s="76">
        <f t="shared" si="113"/>
        <v>0</v>
      </c>
      <c r="Z87" s="76">
        <f t="shared" si="113"/>
        <v>0</v>
      </c>
      <c r="AA87" s="76">
        <f t="shared" si="113"/>
        <v>0</v>
      </c>
      <c r="AB87" s="76">
        <f t="shared" si="113"/>
        <v>0</v>
      </c>
      <c r="AC87" s="76">
        <f t="shared" si="113"/>
        <v>0</v>
      </c>
      <c r="AD87" s="76">
        <f t="shared" si="113"/>
        <v>0</v>
      </c>
      <c r="AE87" s="76">
        <f t="shared" si="113"/>
        <v>0</v>
      </c>
      <c r="AF87" s="76">
        <f t="shared" si="113"/>
        <v>0</v>
      </c>
      <c r="AG87" s="76">
        <f t="shared" si="113"/>
        <v>0</v>
      </c>
      <c r="AH87" s="76">
        <f t="shared" si="113"/>
        <v>0</v>
      </c>
      <c r="AI87" s="76">
        <f t="shared" si="113"/>
        <v>0</v>
      </c>
      <c r="AJ87" s="76">
        <f t="shared" si="113"/>
        <v>0</v>
      </c>
      <c r="AK87" s="76">
        <f t="shared" si="113"/>
        <v>0</v>
      </c>
    </row>
    <row r="88" spans="1:37">
      <c r="B88" s="63" t="s">
        <v>493</v>
      </c>
      <c r="H88" s="99">
        <f ca="1">H62/($G$70-SUM(H85:$H$85))</f>
        <v>2.3069440894536272E-2</v>
      </c>
      <c r="I88" s="99">
        <f ca="1">I62/($G$70-SUM($H85:I$85))</f>
        <v>6.3718989941528428E-2</v>
      </c>
      <c r="J88" s="99">
        <f ca="1">J62/($G$70-SUM($H85:J$85))</f>
        <v>6.7130100256119596E-2</v>
      </c>
      <c r="K88" s="99">
        <f ca="1">K62/($G$70-SUM($H85:K$85))</f>
        <v>7.0926837359625447E-2</v>
      </c>
      <c r="L88" s="99">
        <f ca="1">L62/($G$70-SUM($H85:L$85))</f>
        <v>7.5185832114873008E-2</v>
      </c>
      <c r="M88" s="99">
        <f ca="1">M62/($G$70-SUM($H85:M$85))</f>
        <v>8.0005653018682413E-2</v>
      </c>
      <c r="N88" s="99">
        <f ca="1">N62/($G$70-SUM($H85:N$85))</f>
        <v>8.5515245332978274E-2</v>
      </c>
      <c r="O88" s="99">
        <f ca="1">O62/($G$70-SUM($H85:O$85))</f>
        <v>9.1886589681695857E-2</v>
      </c>
      <c r="P88" s="99">
        <f ca="1">P62/($G$70-SUM($H85:P$85))</f>
        <v>9.9354265220360075E-2</v>
      </c>
      <c r="Q88" s="99">
        <f ca="1">Q62/($G$70-SUM($H85:Q$85))</f>
        <v>2.0707303843729132</v>
      </c>
      <c r="R88" s="99">
        <f ca="1">R62/($G$70-SUM($H85:R$85))</f>
        <v>0</v>
      </c>
      <c r="S88" s="99">
        <f ca="1">S62/($G$70-SUM($H85:S$85))</f>
        <v>0</v>
      </c>
      <c r="T88" s="99">
        <f ca="1">T62/($G$70-SUM($H85:T$85))</f>
        <v>0</v>
      </c>
      <c r="U88" s="99">
        <f ca="1">U62/($G$70-SUM($H85:U$85))</f>
        <v>0</v>
      </c>
      <c r="V88" s="99">
        <f ca="1">V62/($G$70-SUM($H85:V$85))</f>
        <v>0</v>
      </c>
      <c r="W88" s="99">
        <f ca="1">W62/($G$70-SUM($H85:W$85))</f>
        <v>0</v>
      </c>
      <c r="X88" s="99">
        <f ca="1">X62/($G$70-SUM($H85:X$85))</f>
        <v>0</v>
      </c>
      <c r="Y88" s="99">
        <f ca="1">Y62/($G$70-SUM($H85:Y$85))</f>
        <v>0</v>
      </c>
      <c r="Z88" s="99">
        <f ca="1">Z62/($G$70-SUM($H85:Z$85))</f>
        <v>0</v>
      </c>
      <c r="AA88" s="99" t="e">
        <f ca="1">AA62/($G$70-SUM($H85:AA$85))</f>
        <v>#DIV/0!</v>
      </c>
      <c r="AB88" s="99" t="e">
        <f ca="1">AB62/($G$70-SUM($H85:AB$85))</f>
        <v>#NUM!</v>
      </c>
      <c r="AC88" s="99" t="e">
        <f ca="1">AC62/($G$70-SUM($H85:AC$85))</f>
        <v>#NUM!</v>
      </c>
      <c r="AD88" s="99" t="e">
        <f ca="1">AD62/($G$70-SUM($H85:AD$85))</f>
        <v>#NUM!</v>
      </c>
      <c r="AE88" s="99" t="e">
        <f ca="1">AE62/($G$70-SUM($H85:AE$85))</f>
        <v>#NUM!</v>
      </c>
      <c r="AF88" s="99" t="e">
        <f ca="1">AF62/($G$70-SUM($H85:AF$85))</f>
        <v>#NUM!</v>
      </c>
      <c r="AG88" s="99" t="e">
        <f ca="1">AG62/($G$70-SUM($H85:AG$85))</f>
        <v>#NUM!</v>
      </c>
      <c r="AH88" s="99" t="e">
        <f ca="1">AH62/($G$70-SUM($H85:AH$85))</f>
        <v>#NUM!</v>
      </c>
      <c r="AI88" s="99" t="e">
        <f ca="1">AI62/($G$70-SUM($H85:AI$85))</f>
        <v>#NUM!</v>
      </c>
      <c r="AJ88" s="99" t="e">
        <f ca="1">AJ62/($G$70-SUM($H85:AJ$85))</f>
        <v>#NUM!</v>
      </c>
      <c r="AK88" s="99" t="e">
        <f ca="1">AK62/($G$70-SUM($H85:AK$85))</f>
        <v>#NUM!</v>
      </c>
    </row>
  </sheetData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478A-0977-4DE0-B6F7-B5F7ECB9A46D}">
  <sheetPr>
    <tabColor rgb="FF002060"/>
  </sheetPr>
  <dimension ref="A8:AK87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63" customWidth="1"/>
    <col min="4" max="4" width="6.44140625" style="63" bestFit="1" customWidth="1"/>
    <col min="5" max="5" width="12.44140625" style="63"/>
    <col min="6" max="6" width="16.77734375" style="63" bestFit="1" customWidth="1"/>
    <col min="7" max="7" width="17.44140625" style="63" bestFit="1" customWidth="1"/>
    <col min="8" max="18" width="14.6640625" style="63" bestFit="1" customWidth="1"/>
    <col min="19" max="19" width="15.21875" style="63" bestFit="1" customWidth="1"/>
    <col min="20" max="20" width="14.33203125" style="240" customWidth="1"/>
    <col min="21" max="21" width="13.33203125" style="63" bestFit="1" customWidth="1"/>
    <col min="22" max="16384" width="12.44140625" style="63"/>
  </cols>
  <sheetData>
    <row r="8" spans="1:21">
      <c r="B8" s="445" t="s">
        <v>762</v>
      </c>
    </row>
    <row r="9" spans="1:21">
      <c r="B9" s="446" t="s">
        <v>765</v>
      </c>
    </row>
    <row r="10" spans="1:21">
      <c r="T10" s="240" t="s">
        <v>672</v>
      </c>
      <c r="U10" s="226" t="s">
        <v>663</v>
      </c>
    </row>
    <row r="11" spans="1:21">
      <c r="A11" s="63" t="s">
        <v>472</v>
      </c>
      <c r="B11" s="64" t="s">
        <v>473</v>
      </c>
      <c r="C11" s="64"/>
      <c r="D11" s="64"/>
      <c r="E11" s="64"/>
      <c r="F11" s="64"/>
      <c r="G11" s="64"/>
      <c r="I11" s="64" t="s">
        <v>474</v>
      </c>
      <c r="J11" s="64"/>
      <c r="K11" s="64"/>
      <c r="L11" s="64"/>
      <c r="M11" s="64"/>
      <c r="O11" s="64" t="s">
        <v>475</v>
      </c>
      <c r="P11" s="64"/>
      <c r="Q11" s="64"/>
      <c r="R11" s="64"/>
      <c r="T11" s="241" t="s">
        <v>659</v>
      </c>
      <c r="U11" s="234">
        <f>'Area Matrix'!F20</f>
        <v>0.3</v>
      </c>
    </row>
    <row r="12" spans="1:21">
      <c r="B12" s="63" t="s">
        <v>476</v>
      </c>
      <c r="G12" s="174">
        <f ca="1">ROUNDDOWN(G15/G16,0)</f>
        <v>123</v>
      </c>
      <c r="I12" s="66" t="s">
        <v>477</v>
      </c>
      <c r="L12" s="227" t="s">
        <v>658</v>
      </c>
      <c r="O12" s="63" t="s">
        <v>478</v>
      </c>
      <c r="R12" s="67">
        <f ca="1">MAX(G23:G25)</f>
        <v>25141647.864393398</v>
      </c>
      <c r="T12" s="241" t="s">
        <v>660</v>
      </c>
      <c r="U12" s="235">
        <f ca="1">'Area Matrix'!L35</f>
        <v>5777020.6810326045</v>
      </c>
    </row>
    <row r="13" spans="1:21">
      <c r="B13" s="63" t="s">
        <v>479</v>
      </c>
      <c r="F13" s="68"/>
      <c r="G13" s="108">
        <f ca="1">'Area Matrix'!D20</f>
        <v>145198.87296923075</v>
      </c>
      <c r="I13" s="63" t="s">
        <v>512</v>
      </c>
      <c r="L13" s="574">
        <v>0.4</v>
      </c>
      <c r="M13" s="228">
        <f>L13*'Phase I - CF MF Market Rental'!M14</f>
        <v>600</v>
      </c>
      <c r="O13" s="63" t="s">
        <v>460</v>
      </c>
      <c r="R13" s="70">
        <v>5.6000000000000001E-2</v>
      </c>
      <c r="T13" s="241" t="s">
        <v>661</v>
      </c>
      <c r="U13" s="235">
        <f ca="1">SUM('Area Matrix'!D35,'Area Matrix'!H35,'Area Matrix'!P35,'Area Matrix'!T35)</f>
        <v>30139619.125243675</v>
      </c>
    </row>
    <row r="14" spans="1:21">
      <c r="B14" s="63" t="s">
        <v>625</v>
      </c>
      <c r="G14" s="225">
        <f>'Phase I - CF MF Market Rental'!G14</f>
        <v>0.85</v>
      </c>
      <c r="I14" s="63" t="s">
        <v>720</v>
      </c>
      <c r="L14" s="574">
        <v>0.5</v>
      </c>
      <c r="M14" s="228">
        <f>L14*'Phase I - CF MF Market Rental'!M15</f>
        <v>850</v>
      </c>
      <c r="O14" s="63" t="s">
        <v>482</v>
      </c>
      <c r="R14" s="71">
        <v>20</v>
      </c>
      <c r="T14" s="241" t="s">
        <v>662</v>
      </c>
      <c r="U14" s="236" t="s">
        <v>663</v>
      </c>
    </row>
    <row r="15" spans="1:21">
      <c r="B15" s="63" t="s">
        <v>557</v>
      </c>
      <c r="G15" s="172">
        <f ca="1">G13*G14</f>
        <v>123419.04202384614</v>
      </c>
      <c r="I15" s="63" t="s">
        <v>487</v>
      </c>
      <c r="M15" s="173">
        <v>0.02</v>
      </c>
      <c r="O15" s="63" t="s">
        <v>485</v>
      </c>
      <c r="R15" s="67">
        <f ca="1">PMT(R13/12,R14*12,R12)</f>
        <v>-174369.27408143919</v>
      </c>
      <c r="S15" s="73"/>
      <c r="T15" s="241" t="s">
        <v>664</v>
      </c>
      <c r="U15" s="237">
        <f>IF(U14="Y", 30%, 0%)</f>
        <v>0.3</v>
      </c>
    </row>
    <row r="16" spans="1:21">
      <c r="B16" s="63" t="s">
        <v>21</v>
      </c>
      <c r="G16" s="224">
        <f>'Phase I - CF MF Market Rental'!G16</f>
        <v>1000</v>
      </c>
      <c r="I16" s="63" t="s">
        <v>489</v>
      </c>
      <c r="M16" s="173">
        <v>0.02</v>
      </c>
      <c r="T16" s="241" t="s">
        <v>665</v>
      </c>
      <c r="U16" s="235">
        <f ca="1">U12+(U13*(100%+U15))</f>
        <v>44958525.543849386</v>
      </c>
    </row>
    <row r="17" spans="2:21">
      <c r="B17" s="63" t="s">
        <v>483</v>
      </c>
      <c r="E17" s="72"/>
      <c r="F17" s="72"/>
      <c r="G17" s="225">
        <f>'Phase I - CF MF Market Rental'!G17</f>
        <v>0.2</v>
      </c>
      <c r="I17" s="63" t="s">
        <v>490</v>
      </c>
      <c r="M17" s="230">
        <v>6</v>
      </c>
      <c r="O17" s="63" t="s">
        <v>467</v>
      </c>
      <c r="R17" s="233">
        <v>0.7</v>
      </c>
      <c r="T17" s="241" t="s">
        <v>666</v>
      </c>
      <c r="U17" s="239">
        <v>3.2099999999999997E-2</v>
      </c>
    </row>
    <row r="18" spans="2:21">
      <c r="B18" s="63" t="s">
        <v>486</v>
      </c>
      <c r="G18" s="225">
        <f>'Phase I - CF MF Market Rental'!G18</f>
        <v>0.5</v>
      </c>
      <c r="I18" s="63" t="s">
        <v>492</v>
      </c>
      <c r="M18" s="230">
        <v>29</v>
      </c>
      <c r="O18" s="63" t="s">
        <v>491</v>
      </c>
      <c r="R18" s="572">
        <v>1.33</v>
      </c>
      <c r="T18" s="241" t="s">
        <v>667</v>
      </c>
      <c r="U18" s="235">
        <f ca="1">U16*U17*U11</f>
        <v>432950.60098726954</v>
      </c>
    </row>
    <row r="19" spans="2:21">
      <c r="B19" s="63" t="s">
        <v>488</v>
      </c>
      <c r="G19" s="225">
        <f>'Phase I - CF MF Market Rental'!G19</f>
        <v>0.3</v>
      </c>
      <c r="I19" s="63" t="s">
        <v>494</v>
      </c>
      <c r="M19" s="231">
        <v>0.3</v>
      </c>
      <c r="O19" s="63" t="s">
        <v>493</v>
      </c>
      <c r="R19" s="233">
        <v>0.08</v>
      </c>
      <c r="T19" s="241" t="s">
        <v>668</v>
      </c>
      <c r="U19" s="235">
        <f ca="1">U18*10</f>
        <v>4329506.0098726954</v>
      </c>
    </row>
    <row r="20" spans="2:21">
      <c r="B20" s="63" t="s">
        <v>496</v>
      </c>
      <c r="G20" s="108">
        <f ca="1">G12/1.5</f>
        <v>82</v>
      </c>
      <c r="I20" s="63" t="s">
        <v>497</v>
      </c>
      <c r="M20" s="173">
        <v>0.02</v>
      </c>
      <c r="O20" s="232"/>
      <c r="P20" s="232"/>
      <c r="Q20" s="232"/>
      <c r="R20" s="233"/>
      <c r="T20" s="241" t="s">
        <v>669</v>
      </c>
      <c r="U20" s="235">
        <f ca="1">U19*99.99%</f>
        <v>4329073.0592717081</v>
      </c>
    </row>
    <row r="21" spans="2:21">
      <c r="G21" s="69"/>
      <c r="I21" s="63" t="s">
        <v>728</v>
      </c>
      <c r="M21" s="408">
        <f>Taxes!$H$13</f>
        <v>0.04</v>
      </c>
      <c r="R21" s="75"/>
      <c r="T21" s="241" t="s">
        <v>670</v>
      </c>
      <c r="U21" s="238">
        <v>0.98</v>
      </c>
    </row>
    <row r="22" spans="2:21">
      <c r="B22" s="64" t="s">
        <v>502</v>
      </c>
      <c r="C22" s="64"/>
      <c r="D22" s="64"/>
      <c r="E22" s="64"/>
      <c r="F22" s="64"/>
      <c r="G22" s="64"/>
      <c r="I22" s="63" t="s">
        <v>498</v>
      </c>
      <c r="M22" s="173">
        <v>0.02</v>
      </c>
      <c r="O22" s="64" t="s">
        <v>499</v>
      </c>
      <c r="P22" s="64"/>
      <c r="Q22" s="64"/>
      <c r="R22" s="64"/>
      <c r="T22" s="241" t="s">
        <v>671</v>
      </c>
      <c r="U22" s="235">
        <f ca="1">IF(U10="Y",U20*U21, 0)</f>
        <v>4242491.5980862742</v>
      </c>
    </row>
    <row r="23" spans="2:21">
      <c r="B23" s="63" t="s">
        <v>467</v>
      </c>
      <c r="G23" s="82">
        <f ca="1">R17*R29</f>
        <v>25141647.864393398</v>
      </c>
      <c r="I23" s="63" t="s">
        <v>500</v>
      </c>
      <c r="K23" s="76"/>
      <c r="L23" s="229">
        <v>0.5</v>
      </c>
      <c r="M23" s="228">
        <f>L23*'Phase I - CF MF Market Rental'!M24</f>
        <v>960</v>
      </c>
      <c r="O23" s="63" t="s">
        <v>28</v>
      </c>
      <c r="Q23" s="77">
        <f ca="1">R23/$R$26</f>
        <v>0.21458960895317078</v>
      </c>
      <c r="R23" s="67">
        <f ca="1">R26-R25-R24</f>
        <v>8028326.4247047463</v>
      </c>
    </row>
    <row r="24" spans="2:21">
      <c r="B24" s="63" t="s">
        <v>491</v>
      </c>
      <c r="G24" s="67">
        <f ca="1">H57/R19</f>
        <v>7813119.4499999983</v>
      </c>
      <c r="I24" s="63" t="s">
        <v>501</v>
      </c>
      <c r="K24" s="76"/>
      <c r="M24" s="68">
        <v>0.1</v>
      </c>
      <c r="O24" s="63" t="s">
        <v>652</v>
      </c>
      <c r="Q24" s="77">
        <f t="shared" ref="Q24:Q25" ca="1" si="0">R24/$R$26</f>
        <v>0.11339780732120983</v>
      </c>
      <c r="R24" s="67">
        <f ca="1">U22</f>
        <v>4242491.5980862742</v>
      </c>
    </row>
    <row r="25" spans="2:21" ht="16.2" thickBot="1">
      <c r="B25" s="63" t="s">
        <v>493</v>
      </c>
      <c r="G25" s="67">
        <f ca="1">PV(R13/12,R14*12,-H57/R18/12,0)</f>
        <v>5646838.1975671211</v>
      </c>
      <c r="I25" s="63" t="s">
        <v>503</v>
      </c>
      <c r="K25" s="76"/>
      <c r="M25" s="71">
        <v>10</v>
      </c>
      <c r="O25" s="78" t="s">
        <v>478</v>
      </c>
      <c r="P25" s="78"/>
      <c r="Q25" s="77">
        <f t="shared" ca="1" si="0"/>
        <v>0.67201258372561934</v>
      </c>
      <c r="R25" s="80">
        <f ca="1">R12</f>
        <v>25141647.864393398</v>
      </c>
    </row>
    <row r="26" spans="2:21" ht="16.2" thickBot="1">
      <c r="G26" s="81"/>
      <c r="I26" s="63" t="s">
        <v>504</v>
      </c>
      <c r="K26" s="76"/>
      <c r="M26" s="68">
        <v>0.08</v>
      </c>
      <c r="O26" s="63" t="s">
        <v>16</v>
      </c>
      <c r="Q26" s="409">
        <f ca="1">SUM(Q23:Q25)</f>
        <v>1</v>
      </c>
      <c r="R26" s="67">
        <f ca="1">SUM(R23:R25)</f>
        <v>37412465.887184419</v>
      </c>
      <c r="S26" s="410">
        <f ca="1">R31-SUM(R23:R25)</f>
        <v>-1495826.0809081346</v>
      </c>
      <c r="T26" s="63" t="s">
        <v>656</v>
      </c>
    </row>
    <row r="27" spans="2:21">
      <c r="I27" s="63" t="s">
        <v>505</v>
      </c>
      <c r="M27" s="70">
        <v>5.6000000000000001E-2</v>
      </c>
    </row>
    <row r="28" spans="2:21">
      <c r="O28" s="64" t="s">
        <v>449</v>
      </c>
      <c r="P28" s="64"/>
      <c r="Q28" s="64"/>
      <c r="R28" s="64"/>
    </row>
    <row r="29" spans="2:21">
      <c r="O29" s="63" t="s">
        <v>506</v>
      </c>
      <c r="R29" s="82">
        <f ca="1">SUM('Area Matrix'!D35,'Area Matrix'!H35,'Area Matrix'!L35,'Area Matrix'!P35,'Area Matrix'!T35)</f>
        <v>35916639.806276284</v>
      </c>
    </row>
    <row r="30" spans="2:21">
      <c r="O30" s="78" t="s">
        <v>507</v>
      </c>
      <c r="P30" s="78"/>
      <c r="Q30" s="78"/>
      <c r="R30" s="80">
        <v>0</v>
      </c>
    </row>
    <row r="31" spans="2:21">
      <c r="O31" s="63" t="s">
        <v>453</v>
      </c>
      <c r="R31" s="67">
        <f ca="1">SUM(R29:R30)</f>
        <v>35916639.806276284</v>
      </c>
    </row>
    <row r="33" spans="1:37">
      <c r="A33" s="63" t="s">
        <v>472</v>
      </c>
      <c r="B33" s="64" t="s">
        <v>508</v>
      </c>
      <c r="C33" s="64"/>
      <c r="D33" s="64"/>
      <c r="E33" s="64"/>
      <c r="F33" s="83"/>
      <c r="G33" s="83">
        <f>F33+1</f>
        <v>1</v>
      </c>
      <c r="H33" s="83">
        <f>G33+1</f>
        <v>2</v>
      </c>
      <c r="I33" s="83">
        <f t="shared" ref="I33:R33" si="1">H33+1</f>
        <v>3</v>
      </c>
      <c r="J33" s="83">
        <f t="shared" si="1"/>
        <v>4</v>
      </c>
      <c r="K33" s="83">
        <f t="shared" si="1"/>
        <v>5</v>
      </c>
      <c r="L33" s="83">
        <f t="shared" si="1"/>
        <v>6</v>
      </c>
      <c r="M33" s="83">
        <f t="shared" si="1"/>
        <v>7</v>
      </c>
      <c r="N33" s="83">
        <f t="shared" si="1"/>
        <v>8</v>
      </c>
      <c r="O33" s="83">
        <f t="shared" si="1"/>
        <v>9</v>
      </c>
      <c r="P33" s="83">
        <f t="shared" si="1"/>
        <v>10</v>
      </c>
      <c r="Q33" s="83">
        <f t="shared" si="1"/>
        <v>11</v>
      </c>
      <c r="R33" s="83">
        <f t="shared" si="1"/>
        <v>12</v>
      </c>
    </row>
    <row r="34" spans="1:37">
      <c r="B34" s="66" t="s">
        <v>509</v>
      </c>
    </row>
    <row r="35" spans="1:37">
      <c r="B35" s="63" t="s">
        <v>720</v>
      </c>
      <c r="G35" s="67">
        <f t="shared" ref="G35:R35" si="2">IF(G33&gt;=$M$17,$M$13*$M$18*$G$18*($L$33),$M$13*$G$18*(G$33*$M$18))</f>
        <v>8700</v>
      </c>
      <c r="H35" s="67">
        <f t="shared" si="2"/>
        <v>17400</v>
      </c>
      <c r="I35" s="67">
        <f t="shared" si="2"/>
        <v>26100</v>
      </c>
      <c r="J35" s="67">
        <f t="shared" si="2"/>
        <v>34800</v>
      </c>
      <c r="K35" s="67">
        <f t="shared" si="2"/>
        <v>43500</v>
      </c>
      <c r="L35" s="67">
        <f t="shared" si="2"/>
        <v>52200</v>
      </c>
      <c r="M35" s="67">
        <f t="shared" si="2"/>
        <v>52200</v>
      </c>
      <c r="N35" s="67">
        <f t="shared" si="2"/>
        <v>52200</v>
      </c>
      <c r="O35" s="67">
        <f t="shared" si="2"/>
        <v>52200</v>
      </c>
      <c r="P35" s="67">
        <f t="shared" si="2"/>
        <v>52200</v>
      </c>
      <c r="Q35" s="67">
        <f t="shared" si="2"/>
        <v>52200</v>
      </c>
      <c r="R35" s="67">
        <f t="shared" si="2"/>
        <v>52200</v>
      </c>
    </row>
    <row r="36" spans="1:37">
      <c r="B36" s="63" t="s">
        <v>512</v>
      </c>
      <c r="G36" s="67">
        <f t="shared" ref="G36:R36" si="3">IF(G33&gt;=$M$17,$M$14*$M$18*$G$19*($L$33),$M$14*$G$19*(G$33*$M$18))</f>
        <v>7395</v>
      </c>
      <c r="H36" s="67">
        <f t="shared" si="3"/>
        <v>14790</v>
      </c>
      <c r="I36" s="67">
        <f t="shared" si="3"/>
        <v>22185</v>
      </c>
      <c r="J36" s="67">
        <f t="shared" si="3"/>
        <v>29580</v>
      </c>
      <c r="K36" s="67">
        <f t="shared" si="3"/>
        <v>36975</v>
      </c>
      <c r="L36" s="67">
        <f t="shared" si="3"/>
        <v>44370</v>
      </c>
      <c r="M36" s="67">
        <f t="shared" si="3"/>
        <v>44370</v>
      </c>
      <c r="N36" s="67">
        <f t="shared" si="3"/>
        <v>44370</v>
      </c>
      <c r="O36" s="67">
        <f t="shared" si="3"/>
        <v>44370</v>
      </c>
      <c r="P36" s="67">
        <f t="shared" si="3"/>
        <v>44370</v>
      </c>
      <c r="Q36" s="67">
        <f t="shared" si="3"/>
        <v>44370</v>
      </c>
      <c r="R36" s="67">
        <f t="shared" si="3"/>
        <v>44370</v>
      </c>
    </row>
    <row r="37" spans="1:37">
      <c r="B37" s="84" t="s">
        <v>16</v>
      </c>
      <c r="C37" s="84"/>
      <c r="D37" s="84"/>
      <c r="E37" s="84"/>
      <c r="F37" s="84"/>
      <c r="G37" s="85">
        <f t="shared" ref="G37:R37" si="4">SUM(G35:G36)</f>
        <v>16095</v>
      </c>
      <c r="H37" s="85">
        <f t="shared" si="4"/>
        <v>32190</v>
      </c>
      <c r="I37" s="85">
        <f t="shared" si="4"/>
        <v>48285</v>
      </c>
      <c r="J37" s="85">
        <f t="shared" si="4"/>
        <v>64380</v>
      </c>
      <c r="K37" s="85">
        <f t="shared" si="4"/>
        <v>80475</v>
      </c>
      <c r="L37" s="85">
        <f t="shared" si="4"/>
        <v>96570</v>
      </c>
      <c r="M37" s="85">
        <f t="shared" si="4"/>
        <v>96570</v>
      </c>
      <c r="N37" s="85">
        <f t="shared" si="4"/>
        <v>96570</v>
      </c>
      <c r="O37" s="85">
        <f t="shared" si="4"/>
        <v>96570</v>
      </c>
      <c r="P37" s="85">
        <f t="shared" si="4"/>
        <v>96570</v>
      </c>
      <c r="Q37" s="85">
        <f t="shared" si="4"/>
        <v>96570</v>
      </c>
      <c r="R37" s="85">
        <f t="shared" si="4"/>
        <v>96570</v>
      </c>
    </row>
    <row r="39" spans="1:37">
      <c r="A39" s="63" t="s">
        <v>472</v>
      </c>
      <c r="B39" s="64" t="s">
        <v>513</v>
      </c>
      <c r="C39" s="64"/>
      <c r="D39" s="64"/>
      <c r="E39" s="64"/>
      <c r="F39" s="64"/>
      <c r="G39" s="86">
        <v>0</v>
      </c>
      <c r="H39" s="86">
        <f>G39+1</f>
        <v>1</v>
      </c>
      <c r="I39" s="86">
        <f t="shared" ref="I39:AK39" si="5">H39+1</f>
        <v>2</v>
      </c>
      <c r="J39" s="86">
        <f t="shared" si="5"/>
        <v>3</v>
      </c>
      <c r="K39" s="86">
        <f t="shared" si="5"/>
        <v>4</v>
      </c>
      <c r="L39" s="86">
        <f t="shared" si="5"/>
        <v>5</v>
      </c>
      <c r="M39" s="86">
        <f t="shared" si="5"/>
        <v>6</v>
      </c>
      <c r="N39" s="86">
        <f t="shared" si="5"/>
        <v>7</v>
      </c>
      <c r="O39" s="86">
        <f t="shared" si="5"/>
        <v>8</v>
      </c>
      <c r="P39" s="86">
        <f t="shared" si="5"/>
        <v>9</v>
      </c>
      <c r="Q39" s="86">
        <f t="shared" si="5"/>
        <v>10</v>
      </c>
      <c r="R39" s="86">
        <f t="shared" si="5"/>
        <v>11</v>
      </c>
      <c r="S39" s="86">
        <f t="shared" si="5"/>
        <v>12</v>
      </c>
      <c r="T39" s="243">
        <f t="shared" si="5"/>
        <v>13</v>
      </c>
      <c r="U39" s="86">
        <f t="shared" si="5"/>
        <v>14</v>
      </c>
      <c r="V39" s="86">
        <f t="shared" si="5"/>
        <v>15</v>
      </c>
      <c r="W39" s="86">
        <f t="shared" si="5"/>
        <v>16</v>
      </c>
      <c r="X39" s="86">
        <f t="shared" si="5"/>
        <v>17</v>
      </c>
      <c r="Y39" s="86">
        <f t="shared" si="5"/>
        <v>18</v>
      </c>
      <c r="Z39" s="86">
        <f t="shared" si="5"/>
        <v>19</v>
      </c>
      <c r="AA39" s="86">
        <f t="shared" si="5"/>
        <v>20</v>
      </c>
      <c r="AB39" s="86">
        <f t="shared" si="5"/>
        <v>21</v>
      </c>
      <c r="AC39" s="86">
        <f t="shared" si="5"/>
        <v>22</v>
      </c>
      <c r="AD39" s="86">
        <f t="shared" si="5"/>
        <v>23</v>
      </c>
      <c r="AE39" s="86">
        <f t="shared" si="5"/>
        <v>24</v>
      </c>
      <c r="AF39" s="86">
        <f t="shared" si="5"/>
        <v>25</v>
      </c>
      <c r="AG39" s="86">
        <f t="shared" si="5"/>
        <v>26</v>
      </c>
      <c r="AH39" s="86">
        <f t="shared" si="5"/>
        <v>27</v>
      </c>
      <c r="AI39" s="86">
        <f t="shared" si="5"/>
        <v>28</v>
      </c>
      <c r="AJ39" s="86">
        <f t="shared" si="5"/>
        <v>29</v>
      </c>
      <c r="AK39" s="86">
        <f t="shared" si="5"/>
        <v>30</v>
      </c>
    </row>
    <row r="40" spans="1:37">
      <c r="B40" s="87" t="s">
        <v>412</v>
      </c>
      <c r="C40" s="87"/>
      <c r="D40" s="87"/>
      <c r="E40" s="87"/>
      <c r="F40" s="87"/>
      <c r="G40" s="87"/>
      <c r="H40" s="88">
        <f t="shared" ref="H40:AK40" si="6">1-$M$15</f>
        <v>0.98</v>
      </c>
      <c r="I40" s="88">
        <f t="shared" si="6"/>
        <v>0.98</v>
      </c>
      <c r="J40" s="88">
        <f t="shared" si="6"/>
        <v>0.98</v>
      </c>
      <c r="K40" s="88">
        <f t="shared" si="6"/>
        <v>0.98</v>
      </c>
      <c r="L40" s="88">
        <f t="shared" si="6"/>
        <v>0.98</v>
      </c>
      <c r="M40" s="88">
        <f t="shared" si="6"/>
        <v>0.98</v>
      </c>
      <c r="N40" s="88">
        <f t="shared" si="6"/>
        <v>0.98</v>
      </c>
      <c r="O40" s="88">
        <f t="shared" si="6"/>
        <v>0.98</v>
      </c>
      <c r="P40" s="88">
        <f t="shared" si="6"/>
        <v>0.98</v>
      </c>
      <c r="Q40" s="88">
        <f t="shared" si="6"/>
        <v>0.98</v>
      </c>
      <c r="R40" s="88">
        <f t="shared" si="6"/>
        <v>0.98</v>
      </c>
      <c r="S40" s="88">
        <f t="shared" si="6"/>
        <v>0.98</v>
      </c>
      <c r="T40" s="244">
        <f t="shared" si="6"/>
        <v>0.98</v>
      </c>
      <c r="U40" s="88">
        <f t="shared" si="6"/>
        <v>0.98</v>
      </c>
      <c r="V40" s="88">
        <f t="shared" si="6"/>
        <v>0.98</v>
      </c>
      <c r="W40" s="88">
        <f t="shared" si="6"/>
        <v>0.98</v>
      </c>
      <c r="X40" s="88">
        <f t="shared" si="6"/>
        <v>0.98</v>
      </c>
      <c r="Y40" s="88">
        <f t="shared" si="6"/>
        <v>0.98</v>
      </c>
      <c r="Z40" s="88">
        <f t="shared" si="6"/>
        <v>0.98</v>
      </c>
      <c r="AA40" s="88">
        <f t="shared" si="6"/>
        <v>0.98</v>
      </c>
      <c r="AB40" s="88">
        <f t="shared" si="6"/>
        <v>0.98</v>
      </c>
      <c r="AC40" s="88">
        <f t="shared" si="6"/>
        <v>0.98</v>
      </c>
      <c r="AD40" s="88">
        <f t="shared" si="6"/>
        <v>0.98</v>
      </c>
      <c r="AE40" s="88">
        <f t="shared" si="6"/>
        <v>0.98</v>
      </c>
      <c r="AF40" s="88">
        <f t="shared" si="6"/>
        <v>0.98</v>
      </c>
      <c r="AG40" s="88">
        <f t="shared" si="6"/>
        <v>0.98</v>
      </c>
      <c r="AH40" s="88">
        <f t="shared" si="6"/>
        <v>0.98</v>
      </c>
      <c r="AI40" s="88">
        <f t="shared" si="6"/>
        <v>0.98</v>
      </c>
      <c r="AJ40" s="88">
        <f t="shared" si="6"/>
        <v>0.98</v>
      </c>
      <c r="AK40" s="88">
        <f t="shared" si="6"/>
        <v>0.98</v>
      </c>
    </row>
    <row r="41" spans="1:37"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245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</row>
    <row r="42" spans="1:37">
      <c r="B42" s="63" t="s">
        <v>506</v>
      </c>
      <c r="G42" s="67">
        <f ca="1">-R31</f>
        <v>-35916639.806276284</v>
      </c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245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</row>
    <row r="44" spans="1:37">
      <c r="B44" s="87" t="s">
        <v>514</v>
      </c>
      <c r="G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246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</row>
    <row r="45" spans="1:37">
      <c r="B45" s="63" t="s">
        <v>516</v>
      </c>
      <c r="G45" s="67"/>
      <c r="H45" s="67">
        <f>SUM(G35:R35)</f>
        <v>495900</v>
      </c>
      <c r="I45" s="67">
        <f t="shared" ref="I45:AK45" ca="1" si="7">$G$12*$G$18*$M$13*(1+$M$16)^H39*12</f>
        <v>451656</v>
      </c>
      <c r="J45" s="67">
        <f t="shared" ca="1" si="7"/>
        <v>460689.12</v>
      </c>
      <c r="K45" s="67">
        <f t="shared" ca="1" si="7"/>
        <v>469902.90240000002</v>
      </c>
      <c r="L45" s="67">
        <f t="shared" ca="1" si="7"/>
        <v>479300.960448</v>
      </c>
      <c r="M45" s="67">
        <f t="shared" ca="1" si="7"/>
        <v>488886.97965696</v>
      </c>
      <c r="N45" s="67">
        <f t="shared" ca="1" si="7"/>
        <v>498664.71925009927</v>
      </c>
      <c r="O45" s="67">
        <f t="shared" ca="1" si="7"/>
        <v>508638.01363510115</v>
      </c>
      <c r="P45" s="67">
        <f t="shared" ca="1" si="7"/>
        <v>518810.77390780312</v>
      </c>
      <c r="Q45" s="67">
        <f t="shared" ca="1" si="7"/>
        <v>529186.98938595923</v>
      </c>
      <c r="R45" s="67">
        <f t="shared" ca="1" si="7"/>
        <v>539770.72917367844</v>
      </c>
      <c r="S45" s="67">
        <f t="shared" ca="1" si="7"/>
        <v>550566.14375715191</v>
      </c>
      <c r="T45" s="246">
        <f t="shared" ca="1" si="7"/>
        <v>561577.46663229505</v>
      </c>
      <c r="U45" s="67">
        <f t="shared" ca="1" si="7"/>
        <v>572809.01596494089</v>
      </c>
      <c r="V45" s="67">
        <f t="shared" ca="1" si="7"/>
        <v>584265.19628423976</v>
      </c>
      <c r="W45" s="67">
        <f t="shared" ca="1" si="7"/>
        <v>595950.50020992442</v>
      </c>
      <c r="X45" s="67">
        <f t="shared" ca="1" si="7"/>
        <v>607869.51021412294</v>
      </c>
      <c r="Y45" s="67">
        <f t="shared" ca="1" si="7"/>
        <v>620026.90041840542</v>
      </c>
      <c r="Z45" s="67">
        <f t="shared" ca="1" si="7"/>
        <v>632427.43842677353</v>
      </c>
      <c r="AA45" s="67">
        <f t="shared" ca="1" si="7"/>
        <v>645075.98719530902</v>
      </c>
      <c r="AB45" s="67">
        <f t="shared" ca="1" si="7"/>
        <v>657977.50693921524</v>
      </c>
      <c r="AC45" s="67">
        <f t="shared" ca="1" si="7"/>
        <v>671137.05707799946</v>
      </c>
      <c r="AD45" s="67">
        <f t="shared" ca="1" si="7"/>
        <v>684559.79821955948</v>
      </c>
      <c r="AE45" s="67">
        <f t="shared" ca="1" si="7"/>
        <v>698250.99418395059</v>
      </c>
      <c r="AF45" s="67">
        <f t="shared" ca="1" si="7"/>
        <v>712216.01406762959</v>
      </c>
      <c r="AG45" s="67">
        <f t="shared" ca="1" si="7"/>
        <v>726460.3343489822</v>
      </c>
      <c r="AH45" s="67">
        <f t="shared" ca="1" si="7"/>
        <v>740989.54103596194</v>
      </c>
      <c r="AI45" s="67">
        <f t="shared" ca="1" si="7"/>
        <v>755809.33185668103</v>
      </c>
      <c r="AJ45" s="67">
        <f t="shared" ca="1" si="7"/>
        <v>770925.51849381486</v>
      </c>
      <c r="AK45" s="67">
        <f t="shared" ca="1" si="7"/>
        <v>786344.02886369103</v>
      </c>
    </row>
    <row r="46" spans="1:37">
      <c r="B46" s="63" t="s">
        <v>517</v>
      </c>
      <c r="G46" s="67"/>
      <c r="H46" s="67">
        <f>SUM(G36:R36)</f>
        <v>421515</v>
      </c>
      <c r="I46" s="67">
        <f t="shared" ref="I46:AK46" ca="1" si="8">$G$12*$G$19*$M$14*(1+$M$16)^H39*12</f>
        <v>383907.6</v>
      </c>
      <c r="J46" s="67">
        <f t="shared" ca="1" si="8"/>
        <v>391585.75199999998</v>
      </c>
      <c r="K46" s="67">
        <f t="shared" ca="1" si="8"/>
        <v>399417.46704000002</v>
      </c>
      <c r="L46" s="67">
        <f t="shared" ca="1" si="8"/>
        <v>407405.81638079998</v>
      </c>
      <c r="M46" s="67">
        <f t="shared" ca="1" si="8"/>
        <v>415553.93270841602</v>
      </c>
      <c r="N46" s="67">
        <f t="shared" ca="1" si="8"/>
        <v>423865.01136258437</v>
      </c>
      <c r="O46" s="67">
        <f t="shared" ca="1" si="8"/>
        <v>432342.31158983591</v>
      </c>
      <c r="P46" s="67">
        <f t="shared" ca="1" si="8"/>
        <v>440989.15782163269</v>
      </c>
      <c r="Q46" s="67">
        <f t="shared" ca="1" si="8"/>
        <v>449808.94097806537</v>
      </c>
      <c r="R46" s="67">
        <f t="shared" ca="1" si="8"/>
        <v>458805.11979762663</v>
      </c>
      <c r="S46" s="67">
        <f t="shared" ca="1" si="8"/>
        <v>467981.22219357913</v>
      </c>
      <c r="T46" s="246">
        <f t="shared" ca="1" si="8"/>
        <v>477340.84663745074</v>
      </c>
      <c r="U46" s="67">
        <f t="shared" ca="1" si="8"/>
        <v>486887.66357019974</v>
      </c>
      <c r="V46" s="67">
        <f t="shared" ca="1" si="8"/>
        <v>496625.41684160382</v>
      </c>
      <c r="W46" s="67">
        <f t="shared" ca="1" si="8"/>
        <v>506557.92517843575</v>
      </c>
      <c r="X46" s="67">
        <f t="shared" ca="1" si="8"/>
        <v>516689.0836820046</v>
      </c>
      <c r="Y46" s="67">
        <f t="shared" ca="1" si="8"/>
        <v>527022.86535564461</v>
      </c>
      <c r="Z46" s="67">
        <f t="shared" ca="1" si="8"/>
        <v>537563.32266275748</v>
      </c>
      <c r="AA46" s="67">
        <f t="shared" ca="1" si="8"/>
        <v>548314.58911601268</v>
      </c>
      <c r="AB46" s="67">
        <f t="shared" ca="1" si="8"/>
        <v>559280.88089833292</v>
      </c>
      <c r="AC46" s="67">
        <f t="shared" ca="1" si="8"/>
        <v>570466.49851629953</v>
      </c>
      <c r="AD46" s="67">
        <f t="shared" ca="1" si="8"/>
        <v>581875.82848662557</v>
      </c>
      <c r="AE46" s="67">
        <f t="shared" ca="1" si="8"/>
        <v>593513.34505635803</v>
      </c>
      <c r="AF46" s="67">
        <f t="shared" ca="1" si="8"/>
        <v>605383.61195748521</v>
      </c>
      <c r="AG46" s="67">
        <f t="shared" ca="1" si="8"/>
        <v>617491.28419663489</v>
      </c>
      <c r="AH46" s="67">
        <f t="shared" ca="1" si="8"/>
        <v>629841.10988056776</v>
      </c>
      <c r="AI46" s="67">
        <f t="shared" ca="1" si="8"/>
        <v>642437.93207817897</v>
      </c>
      <c r="AJ46" s="67">
        <f t="shared" ca="1" si="8"/>
        <v>655286.69071974256</v>
      </c>
      <c r="AK46" s="67">
        <f t="shared" ca="1" si="8"/>
        <v>668392.42453413736</v>
      </c>
    </row>
    <row r="47" spans="1:37">
      <c r="B47" s="87" t="s">
        <v>518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246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</row>
    <row r="48" spans="1:37">
      <c r="B48" s="63" t="s">
        <v>519</v>
      </c>
      <c r="G48" s="67"/>
      <c r="H48" s="67">
        <f t="shared" ref="H48:AK48" ca="1" si="9">$G$20*$M$23*(1+$M$16)^G39</f>
        <v>78720</v>
      </c>
      <c r="I48" s="67">
        <f t="shared" ca="1" si="9"/>
        <v>80294.399999999994</v>
      </c>
      <c r="J48" s="67">
        <f t="shared" ca="1" si="9"/>
        <v>81900.288</v>
      </c>
      <c r="K48" s="67">
        <f t="shared" ca="1" si="9"/>
        <v>83538.29376</v>
      </c>
      <c r="L48" s="67">
        <f t="shared" ca="1" si="9"/>
        <v>85209.059635199999</v>
      </c>
      <c r="M48" s="67">
        <f t="shared" ca="1" si="9"/>
        <v>86913.240827903996</v>
      </c>
      <c r="N48" s="67">
        <f t="shared" ca="1" si="9"/>
        <v>88651.505644462086</v>
      </c>
      <c r="O48" s="67">
        <f t="shared" ca="1" si="9"/>
        <v>90424.535757351303</v>
      </c>
      <c r="P48" s="67">
        <f t="shared" ca="1" si="9"/>
        <v>92233.026472498343</v>
      </c>
      <c r="Q48" s="67">
        <f t="shared" ca="1" si="9"/>
        <v>94077.687001948303</v>
      </c>
      <c r="R48" s="67">
        <f t="shared" ca="1" si="9"/>
        <v>95959.240741987276</v>
      </c>
      <c r="S48" s="67">
        <f t="shared" ca="1" si="9"/>
        <v>97878.425556827002</v>
      </c>
      <c r="T48" s="246">
        <f t="shared" ca="1" si="9"/>
        <v>99835.994067963562</v>
      </c>
      <c r="U48" s="67">
        <f t="shared" ca="1" si="9"/>
        <v>101832.71394932283</v>
      </c>
      <c r="V48" s="67">
        <f t="shared" ca="1" si="9"/>
        <v>103869.36822830929</v>
      </c>
      <c r="W48" s="67">
        <f t="shared" ca="1" si="9"/>
        <v>105946.75559287546</v>
      </c>
      <c r="X48" s="67">
        <f t="shared" ca="1" si="9"/>
        <v>108065.69070473297</v>
      </c>
      <c r="Y48" s="67">
        <f t="shared" ca="1" si="9"/>
        <v>110227.00451882764</v>
      </c>
      <c r="Z48" s="67">
        <f t="shared" ca="1" si="9"/>
        <v>112431.54460920418</v>
      </c>
      <c r="AA48" s="67">
        <f t="shared" ca="1" si="9"/>
        <v>114680.17550138826</v>
      </c>
      <c r="AB48" s="67">
        <f t="shared" ca="1" si="9"/>
        <v>116973.77901141605</v>
      </c>
      <c r="AC48" s="67">
        <f t="shared" ca="1" si="9"/>
        <v>119313.25459164436</v>
      </c>
      <c r="AD48" s="67">
        <f t="shared" ca="1" si="9"/>
        <v>121699.51968347725</v>
      </c>
      <c r="AE48" s="67">
        <f t="shared" ca="1" si="9"/>
        <v>124133.51007714677</v>
      </c>
      <c r="AF48" s="67">
        <f t="shared" ca="1" si="9"/>
        <v>126616.18027868972</v>
      </c>
      <c r="AG48" s="67">
        <f t="shared" ca="1" si="9"/>
        <v>129148.50388426351</v>
      </c>
      <c r="AH48" s="67">
        <f t="shared" ca="1" si="9"/>
        <v>131731.4739619488</v>
      </c>
      <c r="AI48" s="67">
        <f t="shared" ca="1" si="9"/>
        <v>134366.10344118773</v>
      </c>
      <c r="AJ48" s="67">
        <f t="shared" ca="1" si="9"/>
        <v>137053.42551001153</v>
      </c>
      <c r="AK48" s="67">
        <f t="shared" ca="1" si="9"/>
        <v>139794.49402021174</v>
      </c>
    </row>
    <row r="49" spans="2:37">
      <c r="B49" s="84" t="s">
        <v>520</v>
      </c>
      <c r="C49" s="84"/>
      <c r="D49" s="84"/>
      <c r="E49" s="84"/>
      <c r="F49" s="84"/>
      <c r="G49" s="85"/>
      <c r="H49" s="85">
        <f t="shared" ref="H49:AK49" ca="1" si="10">SUM(H43:H48)</f>
        <v>996135</v>
      </c>
      <c r="I49" s="85">
        <f t="shared" ca="1" si="10"/>
        <v>915858</v>
      </c>
      <c r="J49" s="85">
        <f t="shared" ca="1" si="10"/>
        <v>934175.15999999992</v>
      </c>
      <c r="K49" s="85">
        <f t="shared" ca="1" si="10"/>
        <v>952858.66320000007</v>
      </c>
      <c r="L49" s="85">
        <f t="shared" ca="1" si="10"/>
        <v>971915.83646399993</v>
      </c>
      <c r="M49" s="85">
        <f t="shared" ca="1" si="10"/>
        <v>991354.15319327998</v>
      </c>
      <c r="N49" s="85">
        <f t="shared" ca="1" si="10"/>
        <v>1011181.2362571456</v>
      </c>
      <c r="O49" s="85">
        <f t="shared" ca="1" si="10"/>
        <v>1031404.8609822884</v>
      </c>
      <c r="P49" s="85">
        <f t="shared" ca="1" si="10"/>
        <v>1052032.9582019341</v>
      </c>
      <c r="Q49" s="85">
        <f t="shared" ca="1" si="10"/>
        <v>1073073.6173659728</v>
      </c>
      <c r="R49" s="85">
        <f t="shared" ca="1" si="10"/>
        <v>1094535.0897132924</v>
      </c>
      <c r="S49" s="85">
        <f t="shared" ca="1" si="10"/>
        <v>1116425.7915075582</v>
      </c>
      <c r="T49" s="247">
        <f t="shared" ca="1" si="10"/>
        <v>1138754.3073377092</v>
      </c>
      <c r="U49" s="85">
        <f t="shared" ca="1" si="10"/>
        <v>1161529.3934844637</v>
      </c>
      <c r="V49" s="85">
        <f t="shared" ca="1" si="10"/>
        <v>1184759.9813541528</v>
      </c>
      <c r="W49" s="85">
        <f t="shared" ca="1" si="10"/>
        <v>1208455.1809812356</v>
      </c>
      <c r="X49" s="85">
        <f t="shared" ca="1" si="10"/>
        <v>1232624.2846008604</v>
      </c>
      <c r="Y49" s="85">
        <f t="shared" ca="1" si="10"/>
        <v>1257276.7702928777</v>
      </c>
      <c r="Z49" s="85">
        <f t="shared" ca="1" si="10"/>
        <v>1282422.3056987352</v>
      </c>
      <c r="AA49" s="85">
        <f t="shared" ca="1" si="10"/>
        <v>1308070.75181271</v>
      </c>
      <c r="AB49" s="85">
        <f t="shared" ca="1" si="10"/>
        <v>1334232.1668489643</v>
      </c>
      <c r="AC49" s="85">
        <f t="shared" ca="1" si="10"/>
        <v>1360916.8101859433</v>
      </c>
      <c r="AD49" s="85">
        <f t="shared" ca="1" si="10"/>
        <v>1388135.1463896623</v>
      </c>
      <c r="AE49" s="85">
        <f t="shared" ca="1" si="10"/>
        <v>1415897.8493174554</v>
      </c>
      <c r="AF49" s="85">
        <f t="shared" ca="1" si="10"/>
        <v>1444215.8063038043</v>
      </c>
      <c r="AG49" s="85">
        <f t="shared" ca="1" si="10"/>
        <v>1473100.1224298805</v>
      </c>
      <c r="AH49" s="85">
        <f t="shared" ca="1" si="10"/>
        <v>1502562.1248784787</v>
      </c>
      <c r="AI49" s="85">
        <f t="shared" ca="1" si="10"/>
        <v>1532613.3673760477</v>
      </c>
      <c r="AJ49" s="85">
        <f t="shared" ca="1" si="10"/>
        <v>1563265.634723569</v>
      </c>
      <c r="AK49" s="85">
        <f t="shared" ca="1" si="10"/>
        <v>1594530.9474180401</v>
      </c>
    </row>
    <row r="50" spans="2:37"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246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</row>
    <row r="51" spans="2:37">
      <c r="B51" s="78" t="s">
        <v>521</v>
      </c>
      <c r="C51" s="78"/>
      <c r="D51" s="78"/>
      <c r="E51" s="78"/>
      <c r="F51" s="78"/>
      <c r="G51" s="78"/>
      <c r="H51" s="80">
        <f t="shared" ref="H51:AK51" si="11">-(1-H40)*SUM(H45:H46)</f>
        <v>-18348.300000000017</v>
      </c>
      <c r="I51" s="80">
        <f t="shared" ca="1" si="11"/>
        <v>-16711.272000000015</v>
      </c>
      <c r="J51" s="80">
        <f t="shared" ca="1" si="11"/>
        <v>-17045.497440000014</v>
      </c>
      <c r="K51" s="80">
        <f t="shared" ca="1" si="11"/>
        <v>-17386.407388800017</v>
      </c>
      <c r="L51" s="80">
        <f t="shared" ca="1" si="11"/>
        <v>-17734.135536576014</v>
      </c>
      <c r="M51" s="80">
        <f t="shared" ca="1" si="11"/>
        <v>-18088.818247307536</v>
      </c>
      <c r="N51" s="80">
        <f t="shared" ca="1" si="11"/>
        <v>-18450.594612253688</v>
      </c>
      <c r="O51" s="80">
        <f t="shared" ca="1" si="11"/>
        <v>-18819.606504498759</v>
      </c>
      <c r="P51" s="80">
        <f t="shared" ca="1" si="11"/>
        <v>-19195.998634588734</v>
      </c>
      <c r="Q51" s="80">
        <f t="shared" ca="1" si="11"/>
        <v>-19579.91860728051</v>
      </c>
      <c r="R51" s="80">
        <f t="shared" ca="1" si="11"/>
        <v>-19971.51697942612</v>
      </c>
      <c r="S51" s="80">
        <f t="shared" ca="1" si="11"/>
        <v>-20370.947319014638</v>
      </c>
      <c r="T51" s="248">
        <f t="shared" ca="1" si="11"/>
        <v>-20778.366265394936</v>
      </c>
      <c r="U51" s="80">
        <f t="shared" ca="1" si="11"/>
        <v>-21193.933590702833</v>
      </c>
      <c r="V51" s="80">
        <f t="shared" ca="1" si="11"/>
        <v>-21617.812262516887</v>
      </c>
      <c r="W51" s="80">
        <f t="shared" ca="1" si="11"/>
        <v>-22050.168507767223</v>
      </c>
      <c r="X51" s="80">
        <f t="shared" ca="1" si="11"/>
        <v>-22491.17187792257</v>
      </c>
      <c r="Y51" s="80">
        <f t="shared" ca="1" si="11"/>
        <v>-22940.995315481021</v>
      </c>
      <c r="Z51" s="80">
        <f t="shared" ca="1" si="11"/>
        <v>-23399.815221790643</v>
      </c>
      <c r="AA51" s="80">
        <f t="shared" ca="1" si="11"/>
        <v>-23867.811526226455</v>
      </c>
      <c r="AB51" s="80">
        <f t="shared" ca="1" si="11"/>
        <v>-24345.167756750987</v>
      </c>
      <c r="AC51" s="80">
        <f t="shared" ca="1" si="11"/>
        <v>-24832.071111886002</v>
      </c>
      <c r="AD51" s="80">
        <f t="shared" ca="1" si="11"/>
        <v>-25328.712534123722</v>
      </c>
      <c r="AE51" s="80">
        <f t="shared" ca="1" si="11"/>
        <v>-25835.286784806194</v>
      </c>
      <c r="AF51" s="80">
        <f t="shared" ca="1" si="11"/>
        <v>-26351.992520502317</v>
      </c>
      <c r="AG51" s="80">
        <f t="shared" ca="1" si="11"/>
        <v>-26879.032370912362</v>
      </c>
      <c r="AH51" s="80">
        <f t="shared" ca="1" si="11"/>
        <v>-27416.61301833062</v>
      </c>
      <c r="AI51" s="80">
        <f t="shared" ca="1" si="11"/>
        <v>-27964.945278697225</v>
      </c>
      <c r="AJ51" s="80">
        <f t="shared" ca="1" si="11"/>
        <v>-28524.244184271174</v>
      </c>
      <c r="AK51" s="80">
        <f t="shared" ca="1" si="11"/>
        <v>-29094.729067956592</v>
      </c>
    </row>
    <row r="52" spans="2:37">
      <c r="B52" s="63" t="s">
        <v>522</v>
      </c>
      <c r="H52" s="67">
        <f ca="1">SUM(H49:H51)</f>
        <v>977786.7</v>
      </c>
      <c r="I52" s="67">
        <f t="shared" ref="I52:AK52" ca="1" si="12">SUM(I49:I51)</f>
        <v>899146.728</v>
      </c>
      <c r="J52" s="67">
        <f t="shared" ca="1" si="12"/>
        <v>917129.66255999985</v>
      </c>
      <c r="K52" s="67">
        <f t="shared" ca="1" si="12"/>
        <v>935472.25581120001</v>
      </c>
      <c r="L52" s="67">
        <f t="shared" ca="1" si="12"/>
        <v>954181.7009274239</v>
      </c>
      <c r="M52" s="67">
        <f t="shared" ca="1" si="12"/>
        <v>973265.33494597243</v>
      </c>
      <c r="N52" s="67">
        <f t="shared" ca="1" si="12"/>
        <v>992730.64164489193</v>
      </c>
      <c r="O52" s="67">
        <f t="shared" ca="1" si="12"/>
        <v>1012585.2544777896</v>
      </c>
      <c r="P52" s="67">
        <f t="shared" ca="1" si="12"/>
        <v>1032836.9595673453</v>
      </c>
      <c r="Q52" s="67">
        <f t="shared" ca="1" si="12"/>
        <v>1053493.6987586922</v>
      </c>
      <c r="R52" s="67">
        <f t="shared" ca="1" si="12"/>
        <v>1074563.5727338663</v>
      </c>
      <c r="S52" s="67">
        <f t="shared" ca="1" si="12"/>
        <v>1096054.8441885435</v>
      </c>
      <c r="T52" s="246">
        <f t="shared" ca="1" si="12"/>
        <v>1117975.9410723143</v>
      </c>
      <c r="U52" s="67">
        <f t="shared" ca="1" si="12"/>
        <v>1140335.4598937607</v>
      </c>
      <c r="V52" s="67">
        <f t="shared" ca="1" si="12"/>
        <v>1163142.1690916358</v>
      </c>
      <c r="W52" s="67">
        <f t="shared" ca="1" si="12"/>
        <v>1186405.0124734684</v>
      </c>
      <c r="X52" s="67">
        <f t="shared" ca="1" si="12"/>
        <v>1210133.1127229379</v>
      </c>
      <c r="Y52" s="67">
        <f t="shared" ca="1" si="12"/>
        <v>1234335.7749773967</v>
      </c>
      <c r="Z52" s="67">
        <f t="shared" ca="1" si="12"/>
        <v>1259022.4904769445</v>
      </c>
      <c r="AA52" s="67">
        <f t="shared" ca="1" si="12"/>
        <v>1284202.9402864836</v>
      </c>
      <c r="AB52" s="67">
        <f t="shared" ca="1" si="12"/>
        <v>1309886.9990922133</v>
      </c>
      <c r="AC52" s="67">
        <f t="shared" ca="1" si="12"/>
        <v>1336084.7390740572</v>
      </c>
      <c r="AD52" s="67">
        <f t="shared" ca="1" si="12"/>
        <v>1362806.4338555385</v>
      </c>
      <c r="AE52" s="67">
        <f t="shared" ca="1" si="12"/>
        <v>1390062.5625326491</v>
      </c>
      <c r="AF52" s="67">
        <f t="shared" ca="1" si="12"/>
        <v>1417863.813783302</v>
      </c>
      <c r="AG52" s="67">
        <f t="shared" ca="1" si="12"/>
        <v>1446221.0900589682</v>
      </c>
      <c r="AH52" s="67">
        <f t="shared" ca="1" si="12"/>
        <v>1475145.511860148</v>
      </c>
      <c r="AI52" s="67">
        <f t="shared" ca="1" si="12"/>
        <v>1504648.4220973505</v>
      </c>
      <c r="AJ52" s="67">
        <f t="shared" ca="1" si="12"/>
        <v>1534741.3905392978</v>
      </c>
      <c r="AK52" s="67">
        <f t="shared" ca="1" si="12"/>
        <v>1565436.2183500836</v>
      </c>
    </row>
    <row r="54" spans="2:37">
      <c r="B54" s="63" t="s">
        <v>413</v>
      </c>
      <c r="H54" s="67">
        <f t="shared" ref="H54:AK54" ca="1" si="13">-($M$19*H52)*(1+$M$20)^G39</f>
        <v>-293336.00999999995</v>
      </c>
      <c r="I54" s="67">
        <f t="shared" ca="1" si="13"/>
        <v>-275138.89876800001</v>
      </c>
      <c r="J54" s="67">
        <f t="shared" ca="1" si="13"/>
        <v>-286254.51027822716</v>
      </c>
      <c r="K54" s="67">
        <f t="shared" ca="1" si="13"/>
        <v>-297819.19249346759</v>
      </c>
      <c r="L54" s="67">
        <f t="shared" ca="1" si="13"/>
        <v>-309851.0878702036</v>
      </c>
      <c r="M54" s="67">
        <f t="shared" ca="1" si="13"/>
        <v>-322369.07182015991</v>
      </c>
      <c r="N54" s="67">
        <f t="shared" ca="1" si="13"/>
        <v>-335392.78232169437</v>
      </c>
      <c r="O54" s="67">
        <f t="shared" ca="1" si="13"/>
        <v>-348942.65072749072</v>
      </c>
      <c r="P54" s="67">
        <f t="shared" ca="1" si="13"/>
        <v>-363039.93381688133</v>
      </c>
      <c r="Q54" s="67">
        <f t="shared" ca="1" si="13"/>
        <v>-377706.74714308337</v>
      </c>
      <c r="R54" s="67">
        <f t="shared" ca="1" si="13"/>
        <v>-392966.09972766397</v>
      </c>
      <c r="S54" s="67">
        <f t="shared" ca="1" si="13"/>
        <v>-408841.93015666149</v>
      </c>
      <c r="T54" s="246">
        <f t="shared" ca="1" si="13"/>
        <v>-425359.14413499064</v>
      </c>
      <c r="U54" s="67">
        <f t="shared" ca="1" si="13"/>
        <v>-442543.65355804429</v>
      </c>
      <c r="V54" s="67">
        <f t="shared" ca="1" si="13"/>
        <v>-460422.41716178926</v>
      </c>
      <c r="W54" s="67">
        <f t="shared" ca="1" si="13"/>
        <v>-479023.48281512543</v>
      </c>
      <c r="X54" s="67">
        <f t="shared" ca="1" si="13"/>
        <v>-498376.03152085666</v>
      </c>
      <c r="Y54" s="67">
        <f t="shared" ca="1" si="13"/>
        <v>-518510.42319429934</v>
      </c>
      <c r="Z54" s="67">
        <f t="shared" ca="1" si="13"/>
        <v>-539458.24429134885</v>
      </c>
      <c r="AA54" s="67">
        <f t="shared" ca="1" si="13"/>
        <v>-561252.35736071935</v>
      </c>
      <c r="AB54" s="67">
        <f t="shared" ca="1" si="13"/>
        <v>-583926.9525980925</v>
      </c>
      <c r="AC54" s="67">
        <f t="shared" ca="1" si="13"/>
        <v>-607517.60148305527</v>
      </c>
      <c r="AD54" s="67">
        <f t="shared" ca="1" si="13"/>
        <v>-632061.31258297083</v>
      </c>
      <c r="AE54" s="67">
        <f t="shared" ca="1" si="13"/>
        <v>-657596.58961132262</v>
      </c>
      <c r="AF54" s="67">
        <f t="shared" ca="1" si="13"/>
        <v>-684163.49183161999</v>
      </c>
      <c r="AG54" s="67">
        <f t="shared" ca="1" si="13"/>
        <v>-711803.69690161757</v>
      </c>
      <c r="AH54" s="67">
        <f t="shared" ca="1" si="13"/>
        <v>-740560.56625644327</v>
      </c>
      <c r="AI54" s="67">
        <f t="shared" ca="1" si="13"/>
        <v>-770479.21313320321</v>
      </c>
      <c r="AJ54" s="67">
        <f t="shared" ca="1" si="13"/>
        <v>-801606.5733437849</v>
      </c>
      <c r="AK54" s="67">
        <f t="shared" ca="1" si="13"/>
        <v>-833991.47890687361</v>
      </c>
    </row>
    <row r="55" spans="2:37">
      <c r="B55" s="63" t="s">
        <v>728</v>
      </c>
      <c r="H55" s="67">
        <f ca="1">-(H49*$M$21)*(1+$M$20)^G39</f>
        <v>-39845.4</v>
      </c>
      <c r="I55" s="67">
        <f t="shared" ref="I55:AK55" ca="1" si="14">-(I49*$M$21)*(1+$M$20)^H39</f>
        <v>-37367.006399999998</v>
      </c>
      <c r="J55" s="67">
        <f t="shared" ca="1" si="14"/>
        <v>-38876.633458559998</v>
      </c>
      <c r="K55" s="67">
        <f t="shared" ca="1" si="14"/>
        <v>-40447.249450285824</v>
      </c>
      <c r="L55" s="67">
        <f t="shared" ca="1" si="14"/>
        <v>-42081.318328077366</v>
      </c>
      <c r="M55" s="67">
        <f t="shared" ca="1" si="14"/>
        <v>-43781.403588531699</v>
      </c>
      <c r="N55" s="67">
        <f t="shared" ca="1" si="14"/>
        <v>-45550.172293508382</v>
      </c>
      <c r="O55" s="67">
        <f t="shared" ca="1" si="14"/>
        <v>-47390.399254166106</v>
      </c>
      <c r="P55" s="67">
        <f t="shared" ca="1" si="14"/>
        <v>-49304.971384034419</v>
      </c>
      <c r="Q55" s="67">
        <f t="shared" ca="1" si="14"/>
        <v>-51296.892227949407</v>
      </c>
      <c r="R55" s="67">
        <f t="shared" ca="1" si="14"/>
        <v>-53369.286673958573</v>
      </c>
      <c r="S55" s="67">
        <f t="shared" ca="1" si="14"/>
        <v>-55525.40585558649</v>
      </c>
      <c r="T55" s="67">
        <f t="shared" ca="1" si="14"/>
        <v>-57768.63225215218</v>
      </c>
      <c r="U55" s="67">
        <f t="shared" ca="1" si="14"/>
        <v>-60102.484995139137</v>
      </c>
      <c r="V55" s="67">
        <f t="shared" ca="1" si="14"/>
        <v>-62530.625388942761</v>
      </c>
      <c r="W55" s="67">
        <f t="shared" ca="1" si="14"/>
        <v>-65056.862654656012</v>
      </c>
      <c r="X55" s="67">
        <f t="shared" ca="1" si="14"/>
        <v>-67685.159905904147</v>
      </c>
      <c r="Y55" s="67">
        <f t="shared" ca="1" si="14"/>
        <v>-70419.640366102671</v>
      </c>
      <c r="Z55" s="67">
        <f t="shared" ca="1" si="14"/>
        <v>-73264.593836893211</v>
      </c>
      <c r="AA55" s="67">
        <f t="shared" ca="1" si="14"/>
        <v>-76224.483427903688</v>
      </c>
      <c r="AB55" s="67">
        <f t="shared" ca="1" si="14"/>
        <v>-79303.952558391029</v>
      </c>
      <c r="AC55" s="67">
        <f t="shared" ca="1" si="14"/>
        <v>-82507.832241750002</v>
      </c>
      <c r="AD55" s="67">
        <f t="shared" ca="1" si="14"/>
        <v>-85841.148664316701</v>
      </c>
      <c r="AE55" s="67">
        <f t="shared" ca="1" si="14"/>
        <v>-89309.131070355084</v>
      </c>
      <c r="AF55" s="67">
        <f t="shared" ca="1" si="14"/>
        <v>-92917.219965597411</v>
      </c>
      <c r="AG55" s="67">
        <f t="shared" ca="1" si="14"/>
        <v>-96671.075652207554</v>
      </c>
      <c r="AH55" s="67">
        <f t="shared" ca="1" si="14"/>
        <v>-100576.58710855681</v>
      </c>
      <c r="AI55" s="67">
        <f t="shared" ca="1" si="14"/>
        <v>-104639.88122774243</v>
      </c>
      <c r="AJ55" s="67">
        <f t="shared" ca="1" si="14"/>
        <v>-108867.33242934327</v>
      </c>
      <c r="AK55" s="67">
        <f t="shared" ca="1" si="14"/>
        <v>-113265.57265948871</v>
      </c>
    </row>
    <row r="56" spans="2:37">
      <c r="B56" s="63" t="s">
        <v>523</v>
      </c>
      <c r="H56" s="67">
        <f t="shared" ref="H56:AK56" ca="1" si="15">-H52*$M$22</f>
        <v>-19555.734</v>
      </c>
      <c r="I56" s="67">
        <f t="shared" ca="1" si="15"/>
        <v>-17982.934560000002</v>
      </c>
      <c r="J56" s="67">
        <f t="shared" ca="1" si="15"/>
        <v>-18342.593251199996</v>
      </c>
      <c r="K56" s="67">
        <f t="shared" ca="1" si="15"/>
        <v>-18709.445116224</v>
      </c>
      <c r="L56" s="67">
        <f t="shared" ca="1" si="15"/>
        <v>-19083.634018548477</v>
      </c>
      <c r="M56" s="67">
        <f t="shared" ca="1" si="15"/>
        <v>-19465.306698919449</v>
      </c>
      <c r="N56" s="67">
        <f t="shared" ca="1" si="15"/>
        <v>-19854.612832897838</v>
      </c>
      <c r="O56" s="67">
        <f t="shared" ca="1" si="15"/>
        <v>-20251.705089555791</v>
      </c>
      <c r="P56" s="67">
        <f t="shared" ca="1" si="15"/>
        <v>-20656.739191346907</v>
      </c>
      <c r="Q56" s="67">
        <f t="shared" ca="1" si="15"/>
        <v>-21069.873975173847</v>
      </c>
      <c r="R56" s="67">
        <f t="shared" ca="1" si="15"/>
        <v>-21491.271454677328</v>
      </c>
      <c r="S56" s="67">
        <f t="shared" ca="1" si="15"/>
        <v>-21921.096883770872</v>
      </c>
      <c r="T56" s="246">
        <f t="shared" ca="1" si="15"/>
        <v>-22359.518821446287</v>
      </c>
      <c r="U56" s="67">
        <f t="shared" ca="1" si="15"/>
        <v>-22806.709197875214</v>
      </c>
      <c r="V56" s="67">
        <f t="shared" ca="1" si="15"/>
        <v>-23262.843381832718</v>
      </c>
      <c r="W56" s="67">
        <f t="shared" ca="1" si="15"/>
        <v>-23728.100249469368</v>
      </c>
      <c r="X56" s="67">
        <f t="shared" ca="1" si="15"/>
        <v>-24202.662254458759</v>
      </c>
      <c r="Y56" s="67">
        <f t="shared" ca="1" si="15"/>
        <v>-24686.715499547936</v>
      </c>
      <c r="Z56" s="67">
        <f t="shared" ca="1" si="15"/>
        <v>-25180.449809538892</v>
      </c>
      <c r="AA56" s="67">
        <f t="shared" ca="1" si="15"/>
        <v>-25684.058805729674</v>
      </c>
      <c r="AB56" s="67">
        <f t="shared" ca="1" si="15"/>
        <v>-26197.739981844268</v>
      </c>
      <c r="AC56" s="67">
        <f t="shared" ca="1" si="15"/>
        <v>-26721.694781481143</v>
      </c>
      <c r="AD56" s="67">
        <f t="shared" ca="1" si="15"/>
        <v>-27256.12867711077</v>
      </c>
      <c r="AE56" s="67">
        <f t="shared" ca="1" si="15"/>
        <v>-27801.251250652982</v>
      </c>
      <c r="AF56" s="67">
        <f t="shared" ca="1" si="15"/>
        <v>-28357.276275666041</v>
      </c>
      <c r="AG56" s="67">
        <f t="shared" ca="1" si="15"/>
        <v>-28924.421801179364</v>
      </c>
      <c r="AH56" s="67">
        <f t="shared" ca="1" si="15"/>
        <v>-29502.910237202963</v>
      </c>
      <c r="AI56" s="67">
        <f t="shared" ca="1" si="15"/>
        <v>-30092.96844194701</v>
      </c>
      <c r="AJ56" s="67">
        <f t="shared" ca="1" si="15"/>
        <v>-30694.827810785959</v>
      </c>
      <c r="AK56" s="67">
        <f t="shared" ca="1" si="15"/>
        <v>-31308.724367001672</v>
      </c>
    </row>
    <row r="57" spans="2:37">
      <c r="B57" s="84" t="s">
        <v>524</v>
      </c>
      <c r="C57" s="84"/>
      <c r="D57" s="84"/>
      <c r="E57" s="84"/>
      <c r="F57" s="84"/>
      <c r="G57" s="84"/>
      <c r="H57" s="85">
        <f t="shared" ref="H57:R57" ca="1" si="16">SUM(H52:H56)</f>
        <v>625049.55599999987</v>
      </c>
      <c r="I57" s="85">
        <f t="shared" ca="1" si="16"/>
        <v>568657.88827200013</v>
      </c>
      <c r="J57" s="85">
        <f t="shared" ca="1" si="16"/>
        <v>573655.92557201267</v>
      </c>
      <c r="K57" s="85">
        <f t="shared" ca="1" si="16"/>
        <v>578496.36875122262</v>
      </c>
      <c r="L57" s="85">
        <f t="shared" ca="1" si="16"/>
        <v>583165.6607105945</v>
      </c>
      <c r="M57" s="85">
        <f t="shared" ca="1" si="16"/>
        <v>587649.55283836136</v>
      </c>
      <c r="N57" s="85">
        <f t="shared" ca="1" si="16"/>
        <v>591933.07419679128</v>
      </c>
      <c r="O57" s="85">
        <f t="shared" ca="1" si="16"/>
        <v>596000.49940657709</v>
      </c>
      <c r="P57" s="85">
        <f t="shared" ca="1" si="16"/>
        <v>599835.31517508277</v>
      </c>
      <c r="Q57" s="85">
        <f t="shared" ca="1" si="16"/>
        <v>603420.18541248562</v>
      </c>
      <c r="R57" s="85">
        <f t="shared" ca="1" si="16"/>
        <v>606736.91487756651</v>
      </c>
      <c r="S57" s="85">
        <f t="shared" ref="S57:AK57" ca="1" si="17">SUM(S52:S56)</f>
        <v>609766.41129252466</v>
      </c>
      <c r="T57" s="247">
        <f t="shared" ca="1" si="17"/>
        <v>612488.64586372511</v>
      </c>
      <c r="U57" s="85">
        <f t="shared" ca="1" si="17"/>
        <v>614882.6121427021</v>
      </c>
      <c r="V57" s="85">
        <f t="shared" ca="1" si="17"/>
        <v>616926.28315907111</v>
      </c>
      <c r="W57" s="85">
        <f t="shared" ca="1" si="17"/>
        <v>618596.56675421749</v>
      </c>
      <c r="X57" s="85">
        <f t="shared" ca="1" si="17"/>
        <v>619869.25904171844</v>
      </c>
      <c r="Y57" s="85">
        <f t="shared" ca="1" si="17"/>
        <v>620718.99591744679</v>
      </c>
      <c r="Z57" s="85">
        <f t="shared" ca="1" si="17"/>
        <v>621119.20253916353</v>
      </c>
      <c r="AA57" s="85">
        <f t="shared" ca="1" si="17"/>
        <v>621042.0406921308</v>
      </c>
      <c r="AB57" s="85">
        <f t="shared" ca="1" si="17"/>
        <v>620458.3539538855</v>
      </c>
      <c r="AC57" s="85">
        <f t="shared" ca="1" si="17"/>
        <v>619337.61056777078</v>
      </c>
      <c r="AD57" s="85">
        <f t="shared" ca="1" si="17"/>
        <v>617647.84393114015</v>
      </c>
      <c r="AE57" s="85">
        <f t="shared" ca="1" si="17"/>
        <v>615355.59060031851</v>
      </c>
      <c r="AF57" s="85">
        <f t="shared" ca="1" si="17"/>
        <v>612425.82571041852</v>
      </c>
      <c r="AG57" s="85">
        <f t="shared" ca="1" si="17"/>
        <v>608821.89570396359</v>
      </c>
      <c r="AH57" s="85">
        <f t="shared" ca="1" si="17"/>
        <v>604505.44825794501</v>
      </c>
      <c r="AI57" s="85">
        <f t="shared" ca="1" si="17"/>
        <v>599436.35929445783</v>
      </c>
      <c r="AJ57" s="85">
        <f t="shared" ca="1" si="17"/>
        <v>593572.65695538372</v>
      </c>
      <c r="AK57" s="85">
        <f t="shared" ca="1" si="17"/>
        <v>586870.44241671951</v>
      </c>
    </row>
    <row r="59" spans="2:37">
      <c r="B59" s="63" t="s">
        <v>525</v>
      </c>
      <c r="H59" s="67">
        <f t="shared" ref="H59:AK59" si="18">IF(H39=$M$25,I57/$M$27,0)</f>
        <v>0</v>
      </c>
      <c r="I59" s="67">
        <f t="shared" si="18"/>
        <v>0</v>
      </c>
      <c r="J59" s="67">
        <f t="shared" si="18"/>
        <v>0</v>
      </c>
      <c r="K59" s="67">
        <f t="shared" si="18"/>
        <v>0</v>
      </c>
      <c r="L59" s="67">
        <f t="shared" si="18"/>
        <v>0</v>
      </c>
      <c r="M59" s="67">
        <f t="shared" si="18"/>
        <v>0</v>
      </c>
      <c r="N59" s="67">
        <f t="shared" si="18"/>
        <v>0</v>
      </c>
      <c r="O59" s="67">
        <f t="shared" si="18"/>
        <v>0</v>
      </c>
      <c r="P59" s="67">
        <f t="shared" si="18"/>
        <v>0</v>
      </c>
      <c r="Q59" s="67">
        <f t="shared" ca="1" si="18"/>
        <v>10834587.76567083</v>
      </c>
      <c r="R59" s="67">
        <f t="shared" si="18"/>
        <v>0</v>
      </c>
      <c r="S59" s="67">
        <f t="shared" si="18"/>
        <v>0</v>
      </c>
      <c r="T59" s="246">
        <f t="shared" si="18"/>
        <v>0</v>
      </c>
      <c r="U59" s="67">
        <f t="shared" si="18"/>
        <v>0</v>
      </c>
      <c r="V59" s="67">
        <f t="shared" si="18"/>
        <v>0</v>
      </c>
      <c r="W59" s="67">
        <f t="shared" si="18"/>
        <v>0</v>
      </c>
      <c r="X59" s="67">
        <f t="shared" si="18"/>
        <v>0</v>
      </c>
      <c r="Y59" s="67">
        <f t="shared" si="18"/>
        <v>0</v>
      </c>
      <c r="Z59" s="67">
        <f t="shared" si="18"/>
        <v>0</v>
      </c>
      <c r="AA59" s="67">
        <f t="shared" si="18"/>
        <v>0</v>
      </c>
      <c r="AB59" s="67">
        <f t="shared" si="18"/>
        <v>0</v>
      </c>
      <c r="AC59" s="67">
        <f t="shared" si="18"/>
        <v>0</v>
      </c>
      <c r="AD59" s="67">
        <f t="shared" si="18"/>
        <v>0</v>
      </c>
      <c r="AE59" s="67">
        <f t="shared" si="18"/>
        <v>0</v>
      </c>
      <c r="AF59" s="67">
        <f t="shared" si="18"/>
        <v>0</v>
      </c>
      <c r="AG59" s="67">
        <f t="shared" si="18"/>
        <v>0</v>
      </c>
      <c r="AH59" s="67">
        <f t="shared" si="18"/>
        <v>0</v>
      </c>
      <c r="AI59" s="67">
        <f t="shared" si="18"/>
        <v>0</v>
      </c>
      <c r="AJ59" s="67">
        <f t="shared" si="18"/>
        <v>0</v>
      </c>
      <c r="AK59" s="67">
        <f t="shared" si="18"/>
        <v>0</v>
      </c>
    </row>
    <row r="60" spans="2:37">
      <c r="B60" s="78" t="s">
        <v>393</v>
      </c>
      <c r="C60" s="78"/>
      <c r="D60" s="78"/>
      <c r="E60" s="78"/>
      <c r="F60" s="78"/>
      <c r="G60" s="78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248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</row>
    <row r="61" spans="2:37" s="109" customFormat="1">
      <c r="B61" s="109" t="s">
        <v>526</v>
      </c>
      <c r="G61" s="110">
        <f t="shared" ref="G61:AK61" ca="1" si="19">IF(G39&lt;=$M$25,SUM(G57,G59:G60,G42),0)</f>
        <v>-35916639.806276284</v>
      </c>
      <c r="H61" s="110">
        <f t="shared" ca="1" si="19"/>
        <v>625049.55599999987</v>
      </c>
      <c r="I61" s="110">
        <f t="shared" ca="1" si="19"/>
        <v>568657.88827200013</v>
      </c>
      <c r="J61" s="110">
        <f t="shared" ca="1" si="19"/>
        <v>573655.92557201267</v>
      </c>
      <c r="K61" s="110">
        <f t="shared" ca="1" si="19"/>
        <v>578496.36875122262</v>
      </c>
      <c r="L61" s="110">
        <f t="shared" ca="1" si="19"/>
        <v>583165.6607105945</v>
      </c>
      <c r="M61" s="110">
        <f t="shared" ca="1" si="19"/>
        <v>587649.55283836136</v>
      </c>
      <c r="N61" s="110">
        <f t="shared" ca="1" si="19"/>
        <v>591933.07419679128</v>
      </c>
      <c r="O61" s="110">
        <f t="shared" ca="1" si="19"/>
        <v>596000.49940657709</v>
      </c>
      <c r="P61" s="110">
        <f t="shared" ca="1" si="19"/>
        <v>599835.31517508277</v>
      </c>
      <c r="Q61" s="110">
        <f t="shared" ca="1" si="19"/>
        <v>11438007.951083316</v>
      </c>
      <c r="R61" s="110">
        <f t="shared" si="19"/>
        <v>0</v>
      </c>
      <c r="S61" s="110">
        <f t="shared" si="19"/>
        <v>0</v>
      </c>
      <c r="T61" s="249">
        <f t="shared" si="19"/>
        <v>0</v>
      </c>
      <c r="U61" s="110">
        <f t="shared" si="19"/>
        <v>0</v>
      </c>
      <c r="V61" s="110">
        <f t="shared" si="19"/>
        <v>0</v>
      </c>
      <c r="W61" s="110">
        <f t="shared" si="19"/>
        <v>0</v>
      </c>
      <c r="X61" s="110">
        <f t="shared" si="19"/>
        <v>0</v>
      </c>
      <c r="Y61" s="110">
        <f t="shared" si="19"/>
        <v>0</v>
      </c>
      <c r="Z61" s="110">
        <f t="shared" si="19"/>
        <v>0</v>
      </c>
      <c r="AA61" s="110">
        <f t="shared" si="19"/>
        <v>0</v>
      </c>
      <c r="AB61" s="110">
        <f t="shared" si="19"/>
        <v>0</v>
      </c>
      <c r="AC61" s="110">
        <f t="shared" si="19"/>
        <v>0</v>
      </c>
      <c r="AD61" s="110">
        <f t="shared" si="19"/>
        <v>0</v>
      </c>
      <c r="AE61" s="110">
        <f t="shared" si="19"/>
        <v>0</v>
      </c>
      <c r="AF61" s="110">
        <f t="shared" si="19"/>
        <v>0</v>
      </c>
      <c r="AG61" s="110">
        <f t="shared" si="19"/>
        <v>0</v>
      </c>
      <c r="AH61" s="110">
        <f t="shared" si="19"/>
        <v>0</v>
      </c>
      <c r="AI61" s="110">
        <f t="shared" si="19"/>
        <v>0</v>
      </c>
      <c r="AJ61" s="110">
        <f t="shared" si="19"/>
        <v>0</v>
      </c>
      <c r="AK61" s="110">
        <f t="shared" si="19"/>
        <v>0</v>
      </c>
    </row>
    <row r="62" spans="2:37" ht="16.2" thickBot="1"/>
    <row r="63" spans="2:37">
      <c r="B63" s="89" t="s">
        <v>527</v>
      </c>
      <c r="C63" s="90"/>
      <c r="D63" s="90"/>
      <c r="E63" s="90"/>
      <c r="F63" s="91">
        <f ca="1">SUM(G61:R61)</f>
        <v>-19174188.014270321</v>
      </c>
    </row>
    <row r="64" spans="2:37">
      <c r="B64" s="92" t="s">
        <v>528</v>
      </c>
      <c r="F64" s="93">
        <f ca="1">NPV(M26,H61:R61)</f>
        <v>8979557.9758067913</v>
      </c>
    </row>
    <row r="65" spans="2:37">
      <c r="B65" s="92" t="s">
        <v>529</v>
      </c>
      <c r="F65" s="93">
        <f ca="1">F64+G61</f>
        <v>-26937081.830469493</v>
      </c>
      <c r="G65" s="73"/>
    </row>
    <row r="66" spans="2:37">
      <c r="B66" s="92" t="s">
        <v>530</v>
      </c>
      <c r="F66" s="94">
        <f ca="1">IRR(G61:R61)</f>
        <v>-8.3907997773361775E-2</v>
      </c>
    </row>
    <row r="67" spans="2:37" ht="16.2" thickBot="1">
      <c r="B67" s="95" t="s">
        <v>531</v>
      </c>
      <c r="C67" s="96"/>
      <c r="D67" s="96"/>
      <c r="E67" s="96"/>
      <c r="F67" s="97">
        <f ca="1">(F63/-G61)+1</f>
        <v>0.466147498271269</v>
      </c>
    </row>
    <row r="69" spans="2:37">
      <c r="B69" s="63" t="s">
        <v>532</v>
      </c>
      <c r="G69" s="67">
        <f ca="1">R25</f>
        <v>25141647.864393398</v>
      </c>
    </row>
    <row r="70" spans="2:37">
      <c r="B70" s="63" t="s">
        <v>533</v>
      </c>
      <c r="H70" s="73">
        <f t="shared" ref="H70:AK70" si="20">IF(H39=$M$25,FV($R$13/12,H39*12,$R$15,$R$12,0),0)</f>
        <v>0</v>
      </c>
      <c r="I70" s="73">
        <f t="shared" si="20"/>
        <v>0</v>
      </c>
      <c r="J70" s="73">
        <f t="shared" si="20"/>
        <v>0</v>
      </c>
      <c r="K70" s="73">
        <f t="shared" si="20"/>
        <v>0</v>
      </c>
      <c r="L70" s="73">
        <f t="shared" si="20"/>
        <v>0</v>
      </c>
      <c r="M70" s="73">
        <f t="shared" si="20"/>
        <v>0</v>
      </c>
      <c r="N70" s="73">
        <f t="shared" si="20"/>
        <v>0</v>
      </c>
      <c r="O70" s="67">
        <f t="shared" si="20"/>
        <v>0</v>
      </c>
      <c r="P70" s="73">
        <f t="shared" si="20"/>
        <v>0</v>
      </c>
      <c r="Q70" s="67">
        <f t="shared" ca="1" si="20"/>
        <v>-15993886.608206235</v>
      </c>
      <c r="R70" s="73">
        <f t="shared" si="20"/>
        <v>0</v>
      </c>
      <c r="S70" s="73">
        <f t="shared" si="20"/>
        <v>0</v>
      </c>
      <c r="T70" s="242">
        <f t="shared" si="20"/>
        <v>0</v>
      </c>
      <c r="U70" s="73">
        <f t="shared" si="20"/>
        <v>0</v>
      </c>
      <c r="V70" s="73">
        <f t="shared" si="20"/>
        <v>0</v>
      </c>
      <c r="W70" s="73">
        <f t="shared" si="20"/>
        <v>0</v>
      </c>
      <c r="X70" s="73">
        <f t="shared" si="20"/>
        <v>0</v>
      </c>
      <c r="Y70" s="73">
        <f t="shared" si="20"/>
        <v>0</v>
      </c>
      <c r="Z70" s="73">
        <f t="shared" si="20"/>
        <v>0</v>
      </c>
      <c r="AA70" s="73">
        <f t="shared" si="20"/>
        <v>0</v>
      </c>
      <c r="AB70" s="73">
        <f t="shared" si="20"/>
        <v>0</v>
      </c>
      <c r="AC70" s="73">
        <f t="shared" si="20"/>
        <v>0</v>
      </c>
      <c r="AD70" s="73">
        <f t="shared" si="20"/>
        <v>0</v>
      </c>
      <c r="AE70" s="73">
        <f t="shared" si="20"/>
        <v>0</v>
      </c>
      <c r="AF70" s="73">
        <f t="shared" si="20"/>
        <v>0</v>
      </c>
      <c r="AG70" s="73">
        <f t="shared" si="20"/>
        <v>0</v>
      </c>
      <c r="AH70" s="73">
        <f t="shared" si="20"/>
        <v>0</v>
      </c>
      <c r="AI70" s="73">
        <f t="shared" si="20"/>
        <v>0</v>
      </c>
      <c r="AJ70" s="73">
        <f t="shared" si="20"/>
        <v>0</v>
      </c>
      <c r="AK70" s="73">
        <f t="shared" si="20"/>
        <v>0</v>
      </c>
    </row>
    <row r="71" spans="2:37">
      <c r="B71" s="63" t="s">
        <v>534</v>
      </c>
      <c r="H71" s="67">
        <f t="shared" ref="H71:AK71" ca="1" si="21">IF(H39&lt;=$M$25,$R$15*12,0)</f>
        <v>-2092431.2889772702</v>
      </c>
      <c r="I71" s="67">
        <f t="shared" ca="1" si="21"/>
        <v>-2092431.2889772702</v>
      </c>
      <c r="J71" s="67">
        <f t="shared" ca="1" si="21"/>
        <v>-2092431.2889772702</v>
      </c>
      <c r="K71" s="67">
        <f t="shared" ca="1" si="21"/>
        <v>-2092431.2889772702</v>
      </c>
      <c r="L71" s="67">
        <f t="shared" ca="1" si="21"/>
        <v>-2092431.2889772702</v>
      </c>
      <c r="M71" s="67">
        <f t="shared" ca="1" si="21"/>
        <v>-2092431.2889772702</v>
      </c>
      <c r="N71" s="67">
        <f t="shared" ca="1" si="21"/>
        <v>-2092431.2889772702</v>
      </c>
      <c r="O71" s="67">
        <f t="shared" ca="1" si="21"/>
        <v>-2092431.2889772702</v>
      </c>
      <c r="P71" s="67">
        <f t="shared" ca="1" si="21"/>
        <v>-2092431.2889772702</v>
      </c>
      <c r="Q71" s="67">
        <f t="shared" ca="1" si="21"/>
        <v>-2092431.2889772702</v>
      </c>
      <c r="R71" s="67">
        <f t="shared" si="21"/>
        <v>0</v>
      </c>
      <c r="S71" s="67">
        <f t="shared" si="21"/>
        <v>0</v>
      </c>
      <c r="T71" s="246">
        <f t="shared" si="21"/>
        <v>0</v>
      </c>
      <c r="U71" s="67">
        <f t="shared" si="21"/>
        <v>0</v>
      </c>
      <c r="V71" s="67">
        <f t="shared" si="21"/>
        <v>0</v>
      </c>
      <c r="W71" s="67">
        <f t="shared" si="21"/>
        <v>0</v>
      </c>
      <c r="X71" s="67">
        <f t="shared" si="21"/>
        <v>0</v>
      </c>
      <c r="Y71" s="67">
        <f t="shared" si="21"/>
        <v>0</v>
      </c>
      <c r="Z71" s="67">
        <f t="shared" si="21"/>
        <v>0</v>
      </c>
      <c r="AA71" s="67">
        <f t="shared" si="21"/>
        <v>0</v>
      </c>
      <c r="AB71" s="67">
        <f t="shared" si="21"/>
        <v>0</v>
      </c>
      <c r="AC71" s="67">
        <f t="shared" si="21"/>
        <v>0</v>
      </c>
      <c r="AD71" s="67">
        <f t="shared" si="21"/>
        <v>0</v>
      </c>
      <c r="AE71" s="67">
        <f t="shared" si="21"/>
        <v>0</v>
      </c>
      <c r="AF71" s="67">
        <f t="shared" si="21"/>
        <v>0</v>
      </c>
      <c r="AG71" s="67">
        <f t="shared" si="21"/>
        <v>0</v>
      </c>
      <c r="AH71" s="67">
        <f t="shared" si="21"/>
        <v>0</v>
      </c>
      <c r="AI71" s="67">
        <f t="shared" si="21"/>
        <v>0</v>
      </c>
      <c r="AJ71" s="67">
        <f t="shared" si="21"/>
        <v>0</v>
      </c>
      <c r="AK71" s="67">
        <f t="shared" si="21"/>
        <v>0</v>
      </c>
    </row>
    <row r="73" spans="2:37" s="109" customFormat="1">
      <c r="B73" s="109" t="s">
        <v>535</v>
      </c>
      <c r="G73" s="110">
        <f ca="1">SUM(G61,G69:G71)</f>
        <v>-10774991.941882886</v>
      </c>
      <c r="H73" s="110">
        <f t="shared" ref="H73:AK73" ca="1" si="22">SUM(H61,H69:H71)</f>
        <v>-1467381.7329772704</v>
      </c>
      <c r="I73" s="110">
        <f t="shared" ca="1" si="22"/>
        <v>-1523773.40070527</v>
      </c>
      <c r="J73" s="110">
        <f t="shared" ca="1" si="22"/>
        <v>-1518775.3634052575</v>
      </c>
      <c r="K73" s="110">
        <f t="shared" ca="1" si="22"/>
        <v>-1513934.9202260477</v>
      </c>
      <c r="L73" s="110">
        <f t="shared" ca="1" si="22"/>
        <v>-1509265.6282666759</v>
      </c>
      <c r="M73" s="110">
        <f t="shared" ca="1" si="22"/>
        <v>-1504781.7361389089</v>
      </c>
      <c r="N73" s="110">
        <f t="shared" ca="1" si="22"/>
        <v>-1500498.214780479</v>
      </c>
      <c r="O73" s="110">
        <f t="shared" ca="1" si="22"/>
        <v>-1496430.7895706932</v>
      </c>
      <c r="P73" s="110">
        <f t="shared" ca="1" si="22"/>
        <v>-1492595.9738021875</v>
      </c>
      <c r="Q73" s="110">
        <f t="shared" ca="1" si="22"/>
        <v>-6648309.9461001894</v>
      </c>
      <c r="R73" s="110">
        <f t="shared" si="22"/>
        <v>0</v>
      </c>
      <c r="S73" s="110">
        <f t="shared" si="22"/>
        <v>0</v>
      </c>
      <c r="T73" s="249">
        <f t="shared" si="22"/>
        <v>0</v>
      </c>
      <c r="U73" s="110">
        <f t="shared" si="22"/>
        <v>0</v>
      </c>
      <c r="V73" s="110">
        <f t="shared" si="22"/>
        <v>0</v>
      </c>
      <c r="W73" s="110">
        <f t="shared" si="22"/>
        <v>0</v>
      </c>
      <c r="X73" s="110">
        <f t="shared" si="22"/>
        <v>0</v>
      </c>
      <c r="Y73" s="110">
        <f t="shared" si="22"/>
        <v>0</v>
      </c>
      <c r="Z73" s="110">
        <f t="shared" si="22"/>
        <v>0</v>
      </c>
      <c r="AA73" s="110">
        <f t="shared" si="22"/>
        <v>0</v>
      </c>
      <c r="AB73" s="110">
        <f t="shared" si="22"/>
        <v>0</v>
      </c>
      <c r="AC73" s="110">
        <f t="shared" si="22"/>
        <v>0</v>
      </c>
      <c r="AD73" s="110">
        <f t="shared" si="22"/>
        <v>0</v>
      </c>
      <c r="AE73" s="110">
        <f t="shared" si="22"/>
        <v>0</v>
      </c>
      <c r="AF73" s="110">
        <f t="shared" si="22"/>
        <v>0</v>
      </c>
      <c r="AG73" s="110">
        <f t="shared" si="22"/>
        <v>0</v>
      </c>
      <c r="AH73" s="110">
        <f t="shared" si="22"/>
        <v>0</v>
      </c>
      <c r="AI73" s="110">
        <f t="shared" si="22"/>
        <v>0</v>
      </c>
      <c r="AJ73" s="110">
        <f t="shared" si="22"/>
        <v>0</v>
      </c>
      <c r="AK73" s="110">
        <f t="shared" si="22"/>
        <v>0</v>
      </c>
    </row>
    <row r="74" spans="2:37" ht="16.2" thickBot="1"/>
    <row r="75" spans="2:37">
      <c r="B75" s="89" t="str">
        <f>B63</f>
        <v>Profit</v>
      </c>
      <c r="C75" s="90"/>
      <c r="D75" s="90"/>
      <c r="E75" s="90"/>
      <c r="F75" s="91">
        <f ca="1">SUM(G73:R73)</f>
        <v>-30950739.64785587</v>
      </c>
    </row>
    <row r="76" spans="2:37">
      <c r="B76" s="92" t="str">
        <f t="shared" ref="B76:B79" si="23">B64</f>
        <v>PV</v>
      </c>
      <c r="F76" s="93">
        <f ca="1">NPV($M$26,H73:R73)</f>
        <v>-12469090.42100862</v>
      </c>
    </row>
    <row r="77" spans="2:37">
      <c r="B77" s="92" t="str">
        <f t="shared" si="23"/>
        <v>NPV</v>
      </c>
      <c r="F77" s="93">
        <f ca="1">F76+G73</f>
        <v>-23244082.362891506</v>
      </c>
    </row>
    <row r="78" spans="2:37">
      <c r="B78" s="92" t="s">
        <v>536</v>
      </c>
      <c r="F78" s="98" t="e">
        <f ca="1">IRR(G73:R73)</f>
        <v>#NUM!</v>
      </c>
    </row>
    <row r="79" spans="2:37" ht="16.2" thickBot="1">
      <c r="B79" s="95" t="str">
        <f t="shared" si="23"/>
        <v>Equity Multiple</v>
      </c>
      <c r="C79" s="96"/>
      <c r="D79" s="96"/>
      <c r="E79" s="96"/>
      <c r="F79" s="97">
        <f ca="1">(F75/-G73)+1</f>
        <v>-1.8724605841744468</v>
      </c>
    </row>
    <row r="81" spans="1:37">
      <c r="A81" s="63" t="s">
        <v>472</v>
      </c>
      <c r="B81" s="64" t="s">
        <v>537</v>
      </c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250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</row>
    <row r="82" spans="1:37">
      <c r="B82" s="63" t="s">
        <v>538</v>
      </c>
      <c r="H82" s="99">
        <f ca="1">-H61/$G$61</f>
        <v>1.7402784875515415E-2</v>
      </c>
      <c r="I82" s="99">
        <f t="shared" ref="I82:AK82" ca="1" si="24">-I61/$G$61</f>
        <v>1.5832714066214778E-2</v>
      </c>
      <c r="J82" s="99">
        <f t="shared" ca="1" si="24"/>
        <v>1.5971870661235094E-2</v>
      </c>
      <c r="K82" s="99">
        <f t="shared" ca="1" si="24"/>
        <v>1.6106639481629145E-2</v>
      </c>
      <c r="L82" s="99">
        <f t="shared" ca="1" si="24"/>
        <v>1.6236643067280718E-2</v>
      </c>
      <c r="M82" s="99">
        <f t="shared" ca="1" si="24"/>
        <v>1.6361484704804485E-2</v>
      </c>
      <c r="N82" s="99">
        <f t="shared" ca="1" si="24"/>
        <v>1.6480747569636328E-2</v>
      </c>
      <c r="O82" s="99">
        <f t="shared" ca="1" si="24"/>
        <v>1.6593993831862535E-2</v>
      </c>
      <c r="P82" s="99">
        <f t="shared" ca="1" si="24"/>
        <v>1.6700763724290937E-2</v>
      </c>
      <c r="Q82" s="99">
        <f t="shared" ca="1" si="24"/>
        <v>0.31845985628879936</v>
      </c>
      <c r="R82" s="99">
        <f t="shared" ca="1" si="24"/>
        <v>0</v>
      </c>
      <c r="S82" s="99">
        <f t="shared" ca="1" si="24"/>
        <v>0</v>
      </c>
      <c r="T82" s="251">
        <f t="shared" ca="1" si="24"/>
        <v>0</v>
      </c>
      <c r="U82" s="99">
        <f t="shared" ca="1" si="24"/>
        <v>0</v>
      </c>
      <c r="V82" s="99">
        <f t="shared" ca="1" si="24"/>
        <v>0</v>
      </c>
      <c r="W82" s="99">
        <f t="shared" ca="1" si="24"/>
        <v>0</v>
      </c>
      <c r="X82" s="99">
        <f t="shared" ca="1" si="24"/>
        <v>0</v>
      </c>
      <c r="Y82" s="99">
        <f t="shared" ca="1" si="24"/>
        <v>0</v>
      </c>
      <c r="Z82" s="99">
        <f t="shared" ca="1" si="24"/>
        <v>0</v>
      </c>
      <c r="AA82" s="99">
        <f t="shared" ca="1" si="24"/>
        <v>0</v>
      </c>
      <c r="AB82" s="99">
        <f t="shared" ca="1" si="24"/>
        <v>0</v>
      </c>
      <c r="AC82" s="99">
        <f t="shared" ca="1" si="24"/>
        <v>0</v>
      </c>
      <c r="AD82" s="99">
        <f t="shared" ca="1" si="24"/>
        <v>0</v>
      </c>
      <c r="AE82" s="99">
        <f t="shared" ca="1" si="24"/>
        <v>0</v>
      </c>
      <c r="AF82" s="99">
        <f t="shared" ca="1" si="24"/>
        <v>0</v>
      </c>
      <c r="AG82" s="99">
        <f t="shared" ca="1" si="24"/>
        <v>0</v>
      </c>
      <c r="AH82" s="99">
        <f t="shared" ca="1" si="24"/>
        <v>0</v>
      </c>
      <c r="AI82" s="99">
        <f t="shared" ca="1" si="24"/>
        <v>0</v>
      </c>
      <c r="AJ82" s="99">
        <f t="shared" ca="1" si="24"/>
        <v>0</v>
      </c>
      <c r="AK82" s="99">
        <f t="shared" ca="1" si="24"/>
        <v>0</v>
      </c>
    </row>
    <row r="83" spans="1:37">
      <c r="B83" s="63" t="s">
        <v>539</v>
      </c>
      <c r="H83" s="99">
        <f ca="1">-H73/$G$73</f>
        <v>-0.13618402137949548</v>
      </c>
      <c r="I83" s="99">
        <f t="shared" ref="I83:AK83" ca="1" si="25">-I73/$G$73</f>
        <v>-0.14141759074383092</v>
      </c>
      <c r="J83" s="99">
        <f t="shared" ca="1" si="25"/>
        <v>-0.14095373542709655</v>
      </c>
      <c r="K83" s="99">
        <f t="shared" ca="1" si="25"/>
        <v>-0.14050450602578304</v>
      </c>
      <c r="L83" s="99">
        <f t="shared" ca="1" si="25"/>
        <v>-0.14007116074027781</v>
      </c>
      <c r="M83" s="99">
        <f t="shared" ca="1" si="25"/>
        <v>-0.13965502194853191</v>
      </c>
      <c r="N83" s="99">
        <f t="shared" ca="1" si="25"/>
        <v>-0.13925747906575911</v>
      </c>
      <c r="O83" s="99">
        <f t="shared" ca="1" si="25"/>
        <v>-0.13887999152500508</v>
      </c>
      <c r="P83" s="99">
        <f t="shared" ca="1" si="25"/>
        <v>-0.13852409188357709</v>
      </c>
      <c r="Q83" s="99">
        <f t="shared" ca="1" si="25"/>
        <v>-0.61701298543508931</v>
      </c>
      <c r="R83" s="99">
        <f t="shared" ca="1" si="25"/>
        <v>0</v>
      </c>
      <c r="S83" s="99">
        <f t="shared" ca="1" si="25"/>
        <v>0</v>
      </c>
      <c r="T83" s="251">
        <f t="shared" ca="1" si="25"/>
        <v>0</v>
      </c>
      <c r="U83" s="99">
        <f t="shared" ca="1" si="25"/>
        <v>0</v>
      </c>
      <c r="V83" s="99">
        <f t="shared" ca="1" si="25"/>
        <v>0</v>
      </c>
      <c r="W83" s="99">
        <f t="shared" ca="1" si="25"/>
        <v>0</v>
      </c>
      <c r="X83" s="99">
        <f t="shared" ca="1" si="25"/>
        <v>0</v>
      </c>
      <c r="Y83" s="99">
        <f t="shared" ca="1" si="25"/>
        <v>0</v>
      </c>
      <c r="Z83" s="99">
        <f t="shared" ca="1" si="25"/>
        <v>0</v>
      </c>
      <c r="AA83" s="99">
        <f t="shared" ca="1" si="25"/>
        <v>0</v>
      </c>
      <c r="AB83" s="99">
        <f t="shared" ca="1" si="25"/>
        <v>0</v>
      </c>
      <c r="AC83" s="99">
        <f t="shared" ca="1" si="25"/>
        <v>0</v>
      </c>
      <c r="AD83" s="99">
        <f t="shared" ca="1" si="25"/>
        <v>0</v>
      </c>
      <c r="AE83" s="99">
        <f t="shared" ca="1" si="25"/>
        <v>0</v>
      </c>
      <c r="AF83" s="99">
        <f t="shared" ca="1" si="25"/>
        <v>0</v>
      </c>
      <c r="AG83" s="99">
        <f t="shared" ca="1" si="25"/>
        <v>0</v>
      </c>
      <c r="AH83" s="99">
        <f t="shared" ca="1" si="25"/>
        <v>0</v>
      </c>
      <c r="AI83" s="99">
        <f t="shared" ca="1" si="25"/>
        <v>0</v>
      </c>
      <c r="AJ83" s="99">
        <f t="shared" ca="1" si="25"/>
        <v>0</v>
      </c>
      <c r="AK83" s="99">
        <f t="shared" ca="1" si="25"/>
        <v>0</v>
      </c>
    </row>
    <row r="84" spans="1:37">
      <c r="B84" s="63" t="s">
        <v>540</v>
      </c>
      <c r="H84" s="67">
        <f t="shared" ref="H84:AK84" ca="1" si="26">-CUMPRINC($R$13/12,$R$14*12,$R$12,H39*12-11,H39*12,0)</f>
        <v>702344.00014024065</v>
      </c>
      <c r="I84" s="67">
        <f t="shared" ca="1" si="26"/>
        <v>742700.63608556904</v>
      </c>
      <c r="J84" s="67">
        <f t="shared" ca="1" si="26"/>
        <v>785376.16144192487</v>
      </c>
      <c r="K84" s="67">
        <f t="shared" ca="1" si="26"/>
        <v>830503.81942878373</v>
      </c>
      <c r="L84" s="67">
        <f t="shared" ca="1" si="26"/>
        <v>878224.5094114698</v>
      </c>
      <c r="M84" s="67">
        <f t="shared" ca="1" si="26"/>
        <v>928687.22682274738</v>
      </c>
      <c r="N84" s="67">
        <f t="shared" ca="1" si="26"/>
        <v>982049.5283622758</v>
      </c>
      <c r="O84" s="67">
        <f t="shared" ca="1" si="26"/>
        <v>1038478.023926393</v>
      </c>
      <c r="P84" s="67">
        <f t="shared" ca="1" si="26"/>
        <v>1098148.8968041467</v>
      </c>
      <c r="Q84" s="67">
        <f t="shared" ca="1" si="26"/>
        <v>1161248.453763756</v>
      </c>
      <c r="R84" s="67">
        <f t="shared" ca="1" si="26"/>
        <v>1227973.7067469973</v>
      </c>
      <c r="S84" s="67">
        <f t="shared" ca="1" si="26"/>
        <v>1298532.987987712</v>
      </c>
      <c r="T84" s="246">
        <f t="shared" ca="1" si="26"/>
        <v>1373146.6004749774</v>
      </c>
      <c r="U84" s="67">
        <f t="shared" ca="1" si="26"/>
        <v>1452047.5057918429</v>
      </c>
      <c r="V84" s="67">
        <f t="shared" ca="1" si="26"/>
        <v>1535482.0514772369</v>
      </c>
      <c r="W84" s="67">
        <f t="shared" ca="1" si="26"/>
        <v>1623710.7401820307</v>
      </c>
      <c r="X84" s="67">
        <f t="shared" ca="1" si="26"/>
        <v>1717009.0430207555</v>
      </c>
      <c r="Y84" s="67">
        <f t="shared" ca="1" si="26"/>
        <v>1815668.2596584565</v>
      </c>
      <c r="Z84" s="67">
        <f t="shared" ca="1" si="26"/>
        <v>1919996.4278180667</v>
      </c>
      <c r="AA84" s="67">
        <f t="shared" ca="1" si="26"/>
        <v>2030319.2850480177</v>
      </c>
      <c r="AB84" s="67" t="e">
        <f t="shared" ca="1" si="26"/>
        <v>#NUM!</v>
      </c>
      <c r="AC84" s="67" t="e">
        <f t="shared" ca="1" si="26"/>
        <v>#NUM!</v>
      </c>
      <c r="AD84" s="67" t="e">
        <f t="shared" ca="1" si="26"/>
        <v>#NUM!</v>
      </c>
      <c r="AE84" s="67" t="e">
        <f t="shared" ca="1" si="26"/>
        <v>#NUM!</v>
      </c>
      <c r="AF84" s="67" t="e">
        <f t="shared" ca="1" si="26"/>
        <v>#NUM!</v>
      </c>
      <c r="AG84" s="67" t="e">
        <f t="shared" ca="1" si="26"/>
        <v>#NUM!</v>
      </c>
      <c r="AH84" s="67" t="e">
        <f t="shared" ca="1" si="26"/>
        <v>#NUM!</v>
      </c>
      <c r="AI84" s="67" t="e">
        <f t="shared" ca="1" si="26"/>
        <v>#NUM!</v>
      </c>
      <c r="AJ84" s="67" t="e">
        <f t="shared" ca="1" si="26"/>
        <v>#NUM!</v>
      </c>
      <c r="AK84" s="67" t="e">
        <f t="shared" ca="1" si="26"/>
        <v>#NUM!</v>
      </c>
    </row>
    <row r="85" spans="1:37">
      <c r="B85" s="63" t="s">
        <v>541</v>
      </c>
      <c r="H85" s="99">
        <f t="shared" ref="H85:AK85" ca="1" si="27">IF(H39&lt;=$M$25,(H84+H73)/-$G$73,0)</f>
        <v>-7.1001234800305804E-2</v>
      </c>
      <c r="I85" s="99">
        <f t="shared" ca="1" si="27"/>
        <v>-7.2489405916271316E-2</v>
      </c>
      <c r="J85" s="99">
        <f t="shared" ca="1" si="27"/>
        <v>-6.8064942036065598E-2</v>
      </c>
      <c r="K85" s="99">
        <f t="shared" ca="1" si="27"/>
        <v>-6.3427527786887344E-2</v>
      </c>
      <c r="L85" s="99">
        <f t="shared" ca="1" si="27"/>
        <v>-5.856534485212192E-2</v>
      </c>
      <c r="M85" s="99">
        <f t="shared" ca="1" si="27"/>
        <v>-5.3465887716988056E-2</v>
      </c>
      <c r="N85" s="99">
        <f t="shared" ca="1" si="27"/>
        <v>-4.8115923354241169E-2</v>
      </c>
      <c r="O85" s="99">
        <f t="shared" ca="1" si="27"/>
        <v>-4.2501448549972162E-2</v>
      </c>
      <c r="P85" s="99">
        <f t="shared" ca="1" si="27"/>
        <v>-3.6607644731947032E-2</v>
      </c>
      <c r="Q85" s="99">
        <f t="shared" ca="1" si="27"/>
        <v>-0.50924042652950618</v>
      </c>
      <c r="R85" s="99">
        <f t="shared" si="27"/>
        <v>0</v>
      </c>
      <c r="S85" s="99">
        <f t="shared" si="27"/>
        <v>0</v>
      </c>
      <c r="T85" s="251">
        <f t="shared" si="27"/>
        <v>0</v>
      </c>
      <c r="U85" s="99">
        <f t="shared" si="27"/>
        <v>0</v>
      </c>
      <c r="V85" s="99">
        <f t="shared" si="27"/>
        <v>0</v>
      </c>
      <c r="W85" s="99">
        <f t="shared" si="27"/>
        <v>0</v>
      </c>
      <c r="X85" s="99">
        <f t="shared" si="27"/>
        <v>0</v>
      </c>
      <c r="Y85" s="99">
        <f t="shared" si="27"/>
        <v>0</v>
      </c>
      <c r="Z85" s="99">
        <f t="shared" si="27"/>
        <v>0</v>
      </c>
      <c r="AA85" s="99">
        <f t="shared" si="27"/>
        <v>0</v>
      </c>
      <c r="AB85" s="99">
        <f t="shared" si="27"/>
        <v>0</v>
      </c>
      <c r="AC85" s="99">
        <f t="shared" si="27"/>
        <v>0</v>
      </c>
      <c r="AD85" s="99">
        <f t="shared" si="27"/>
        <v>0</v>
      </c>
      <c r="AE85" s="99">
        <f t="shared" si="27"/>
        <v>0</v>
      </c>
      <c r="AF85" s="99">
        <f t="shared" si="27"/>
        <v>0</v>
      </c>
      <c r="AG85" s="99">
        <f t="shared" si="27"/>
        <v>0</v>
      </c>
      <c r="AH85" s="99">
        <f t="shared" si="27"/>
        <v>0</v>
      </c>
      <c r="AI85" s="99">
        <f t="shared" si="27"/>
        <v>0</v>
      </c>
      <c r="AJ85" s="99">
        <f t="shared" si="27"/>
        <v>0</v>
      </c>
      <c r="AK85" s="99">
        <f t="shared" si="27"/>
        <v>0</v>
      </c>
    </row>
    <row r="86" spans="1:37">
      <c r="B86" s="63" t="s">
        <v>491</v>
      </c>
      <c r="H86" s="76">
        <f t="shared" ref="H86:AK86" ca="1" si="28">IF(H39&lt;=$M$25,H57/-H71,0)</f>
        <v>0.29871927422071237</v>
      </c>
      <c r="I86" s="76">
        <f t="shared" ca="1" si="28"/>
        <v>0.27176896621056856</v>
      </c>
      <c r="J86" s="76">
        <f t="shared" ca="1" si="28"/>
        <v>0.27415759293697134</v>
      </c>
      <c r="K86" s="76">
        <f t="shared" ca="1" si="28"/>
        <v>0.27647090339295088</v>
      </c>
      <c r="L86" s="76">
        <f t="shared" ca="1" si="28"/>
        <v>0.27870241846537852</v>
      </c>
      <c r="M86" s="76">
        <f t="shared" ca="1" si="28"/>
        <v>0.28084532855823918</v>
      </c>
      <c r="N86" s="76">
        <f t="shared" ca="1" si="28"/>
        <v>0.28289247886658864</v>
      </c>
      <c r="O86" s="76">
        <f t="shared" ca="1" si="28"/>
        <v>0.28483635402808744</v>
      </c>
      <c r="P86" s="76">
        <f t="shared" ca="1" si="28"/>
        <v>0.28666906212641646</v>
      </c>
      <c r="Q86" s="76">
        <f t="shared" ca="1" si="28"/>
        <v>0.28838231801982983</v>
      </c>
      <c r="R86" s="76">
        <f t="shared" si="28"/>
        <v>0</v>
      </c>
      <c r="S86" s="76">
        <f t="shared" si="28"/>
        <v>0</v>
      </c>
      <c r="T86" s="252">
        <f t="shared" si="28"/>
        <v>0</v>
      </c>
      <c r="U86" s="76">
        <f t="shared" si="28"/>
        <v>0</v>
      </c>
      <c r="V86" s="76">
        <f t="shared" si="28"/>
        <v>0</v>
      </c>
      <c r="W86" s="76">
        <f t="shared" si="28"/>
        <v>0</v>
      </c>
      <c r="X86" s="76">
        <f t="shared" si="28"/>
        <v>0</v>
      </c>
      <c r="Y86" s="76">
        <f t="shared" si="28"/>
        <v>0</v>
      </c>
      <c r="Z86" s="76">
        <f t="shared" si="28"/>
        <v>0</v>
      </c>
      <c r="AA86" s="76">
        <f t="shared" si="28"/>
        <v>0</v>
      </c>
      <c r="AB86" s="76">
        <f t="shared" si="28"/>
        <v>0</v>
      </c>
      <c r="AC86" s="76">
        <f t="shared" si="28"/>
        <v>0</v>
      </c>
      <c r="AD86" s="76">
        <f t="shared" si="28"/>
        <v>0</v>
      </c>
      <c r="AE86" s="76">
        <f t="shared" si="28"/>
        <v>0</v>
      </c>
      <c r="AF86" s="76">
        <f t="shared" si="28"/>
        <v>0</v>
      </c>
      <c r="AG86" s="76">
        <f t="shared" si="28"/>
        <v>0</v>
      </c>
      <c r="AH86" s="76">
        <f t="shared" si="28"/>
        <v>0</v>
      </c>
      <c r="AI86" s="76">
        <f t="shared" si="28"/>
        <v>0</v>
      </c>
      <c r="AJ86" s="76">
        <f t="shared" si="28"/>
        <v>0</v>
      </c>
      <c r="AK86" s="76">
        <f t="shared" si="28"/>
        <v>0</v>
      </c>
    </row>
    <row r="87" spans="1:37">
      <c r="B87" s="63" t="s">
        <v>493</v>
      </c>
      <c r="H87" s="99">
        <f ca="1">H61/($G$69-SUM(H84:$H$84))</f>
        <v>2.5575587564678811E-2</v>
      </c>
      <c r="I87" s="99">
        <f ca="1">I61/($G$69-SUM($H84:I$84))</f>
        <v>2.3997443127040673E-2</v>
      </c>
      <c r="J87" s="99">
        <f ca="1">J61/($G$69-SUM($H84:J$84))</f>
        <v>2.5038201747174957E-2</v>
      </c>
      <c r="K87" s="99">
        <f ca="1">K61/($G$69-SUM($H84:K$84))</f>
        <v>2.6199158527202775E-2</v>
      </c>
      <c r="L87" s="99">
        <f ca="1">L61/($G$69-SUM($H84:L$84))</f>
        <v>2.7504572358189677E-2</v>
      </c>
      <c r="M87" s="99">
        <f ca="1">M61/($G$69-SUM($H84:M$84))</f>
        <v>2.8985647445607499E-2</v>
      </c>
      <c r="N87" s="99">
        <f ca="1">N61/($G$69-SUM($H84:N$84))</f>
        <v>3.0683204298684531E-2</v>
      </c>
      <c r="O87" s="99">
        <f ca="1">O61/($G$69-SUM($H84:O$84))</f>
        <v>3.2651686170700883E-2</v>
      </c>
      <c r="P87" s="99">
        <f ca="1">P61/($G$69-SUM($H84:P$84))</f>
        <v>3.4965350783207789E-2</v>
      </c>
      <c r="Q87" s="99">
        <f ca="1">Q61/($G$69-SUM($H84:Q$84))</f>
        <v>0.71514874597239797</v>
      </c>
      <c r="R87" s="99">
        <f ca="1">R61/($G$69-SUM($H84:R$84))</f>
        <v>0</v>
      </c>
      <c r="S87" s="99">
        <f ca="1">S61/($G$69-SUM($H84:S$84))</f>
        <v>0</v>
      </c>
      <c r="T87" s="251">
        <f ca="1">T61/($G$69-SUM($H84:T$84))</f>
        <v>0</v>
      </c>
      <c r="U87" s="99">
        <f ca="1">U61/($G$69-SUM($H84:U$84))</f>
        <v>0</v>
      </c>
      <c r="V87" s="99">
        <f ca="1">V61/($G$69-SUM($H84:V$84))</f>
        <v>0</v>
      </c>
      <c r="W87" s="99">
        <f ca="1">W61/($G$69-SUM($H84:W$84))</f>
        <v>0</v>
      </c>
      <c r="X87" s="99">
        <f ca="1">X61/($G$69-SUM($H84:X$84))</f>
        <v>0</v>
      </c>
      <c r="Y87" s="99">
        <f ca="1">Y61/($G$69-SUM($H84:Y$84))</f>
        <v>0</v>
      </c>
      <c r="Z87" s="99">
        <f ca="1">Z61/($G$69-SUM($H84:Z$84))</f>
        <v>0</v>
      </c>
      <c r="AA87" s="99">
        <f ca="1">AA61/($G$69-SUM($H84:AA$84))</f>
        <v>0</v>
      </c>
      <c r="AB87" s="99" t="e">
        <f ca="1">AB61/($G$69-SUM($H84:AB$84))</f>
        <v>#NUM!</v>
      </c>
      <c r="AC87" s="99" t="e">
        <f ca="1">AC61/($G$69-SUM($H84:AC$84))</f>
        <v>#NUM!</v>
      </c>
      <c r="AD87" s="99" t="e">
        <f ca="1">AD61/($G$69-SUM($H84:AD$84))</f>
        <v>#NUM!</v>
      </c>
      <c r="AE87" s="99" t="e">
        <f ca="1">AE61/($G$69-SUM($H84:AE$84))</f>
        <v>#NUM!</v>
      </c>
      <c r="AF87" s="99" t="e">
        <f ca="1">AF61/($G$69-SUM($H84:AF$84))</f>
        <v>#NUM!</v>
      </c>
      <c r="AG87" s="99" t="e">
        <f ca="1">AG61/($G$69-SUM($H84:AG$84))</f>
        <v>#NUM!</v>
      </c>
      <c r="AH87" s="99" t="e">
        <f ca="1">AH61/($G$69-SUM($H84:AH$84))</f>
        <v>#NUM!</v>
      </c>
      <c r="AI87" s="99" t="e">
        <f ca="1">AI61/($G$69-SUM($H84:AI$84))</f>
        <v>#NUM!</v>
      </c>
      <c r="AJ87" s="99" t="e">
        <f ca="1">AJ61/($G$69-SUM($H84:AJ$84))</f>
        <v>#NUM!</v>
      </c>
      <c r="AK87" s="99" t="e">
        <f ca="1">AK61/($G$69-SUM($H84:AK$84))</f>
        <v>#NUM!</v>
      </c>
    </row>
  </sheetData>
  <conditionalFormatting sqref="T11:U22">
    <cfRule type="expression" dxfId="3" priority="2">
      <formula>$G$44="N"</formula>
    </cfRule>
  </conditionalFormatting>
  <conditionalFormatting sqref="U11">
    <cfRule type="expression" dxfId="2" priority="3">
      <formula>AND(#REF!=0, $G$44="Y")</formula>
    </cfRule>
  </conditionalFormatting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35F0C-15EF-4E05-A9F1-DAC03CFBDDB1}">
  <sheetPr>
    <tabColor rgb="FF002060"/>
  </sheetPr>
  <dimension ref="A2:AK97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12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P2" s="565"/>
    </row>
    <row r="3" spans="1:19">
      <c r="P3" s="565"/>
    </row>
    <row r="4" spans="1:19">
      <c r="P4" s="565"/>
    </row>
    <row r="5" spans="1:19">
      <c r="P5" s="565"/>
    </row>
    <row r="6" spans="1:19">
      <c r="P6" s="565"/>
    </row>
    <row r="7" spans="1:19">
      <c r="P7" s="565"/>
    </row>
    <row r="8" spans="1:19">
      <c r="B8" s="445" t="s">
        <v>762</v>
      </c>
      <c r="P8" s="420"/>
    </row>
    <row r="9" spans="1:19" ht="15.6">
      <c r="B9" s="446" t="s">
        <v>764</v>
      </c>
      <c r="P9" s="420"/>
    </row>
    <row r="11" spans="1:19">
      <c r="A11" s="111" t="s">
        <v>472</v>
      </c>
      <c r="B11" s="113" t="s">
        <v>473</v>
      </c>
      <c r="C11" s="113"/>
      <c r="D11" s="113"/>
      <c r="E11" s="113"/>
      <c r="F11" s="113"/>
      <c r="G11" s="113"/>
      <c r="H11" s="113"/>
      <c r="I11" s="114"/>
      <c r="J11" s="113" t="s">
        <v>555</v>
      </c>
      <c r="K11" s="113"/>
      <c r="L11" s="113"/>
      <c r="M11" s="113"/>
      <c r="N11" s="115" t="s">
        <v>556</v>
      </c>
      <c r="P11" s="113" t="s">
        <v>449</v>
      </c>
      <c r="Q11" s="113"/>
      <c r="R11" s="113"/>
    </row>
    <row r="12" spans="1:19">
      <c r="B12" s="111" t="s">
        <v>557</v>
      </c>
      <c r="G12" s="154">
        <f>'Area Matrix'!D21</f>
        <v>398210.44380000001</v>
      </c>
      <c r="J12" s="111" t="s">
        <v>509</v>
      </c>
      <c r="M12" s="116">
        <f>G12*G16</f>
        <v>16179290.331594002</v>
      </c>
      <c r="N12" s="117">
        <f>M12/G12</f>
        <v>40.630000000000003</v>
      </c>
      <c r="P12" s="111" t="s">
        <v>591</v>
      </c>
      <c r="R12" s="116">
        <f ca="1">SUM('Area Matrix'!D36,'Area Matrix'!H36,'Area Matrix'!L36,'Area Matrix'!P36,'Area Matrix'!T36)</f>
        <v>90259055.465268299</v>
      </c>
    </row>
    <row r="13" spans="1:19">
      <c r="J13" s="111" t="s">
        <v>521</v>
      </c>
      <c r="M13" s="116">
        <f>-M12*G19</f>
        <v>-1617929.0331594003</v>
      </c>
      <c r="N13" s="112"/>
      <c r="P13" s="118" t="s">
        <v>507</v>
      </c>
      <c r="R13" s="157">
        <f ca="1">R12*G26</f>
        <v>0</v>
      </c>
      <c r="S13" s="119"/>
    </row>
    <row r="14" spans="1:19">
      <c r="B14" s="113" t="s">
        <v>558</v>
      </c>
      <c r="C14" s="113"/>
      <c r="D14" s="113"/>
      <c r="E14" s="113"/>
      <c r="F14" s="113"/>
      <c r="G14" s="113"/>
      <c r="H14" s="113"/>
      <c r="I14" s="114"/>
      <c r="J14" s="120" t="s">
        <v>522</v>
      </c>
      <c r="K14" s="120"/>
      <c r="L14" s="120"/>
      <c r="M14" s="121">
        <f>M12+M13</f>
        <v>14561361.2984346</v>
      </c>
      <c r="N14" s="122"/>
      <c r="P14" s="123" t="s">
        <v>453</v>
      </c>
      <c r="Q14" s="120"/>
      <c r="R14" s="121">
        <f ca="1">SUM(R12:R13)</f>
        <v>90259055.465268299</v>
      </c>
      <c r="S14" s="124"/>
    </row>
    <row r="15" spans="1:19">
      <c r="B15" s="111" t="s">
        <v>559</v>
      </c>
      <c r="G15" s="125">
        <v>15</v>
      </c>
      <c r="H15" s="111" t="s">
        <v>560</v>
      </c>
      <c r="N15" s="112"/>
    </row>
    <row r="16" spans="1:19">
      <c r="B16" s="111" t="s">
        <v>561</v>
      </c>
      <c r="G16" s="577">
        <v>40.630000000000003</v>
      </c>
      <c r="H16" s="111" t="s">
        <v>562</v>
      </c>
      <c r="J16" s="126" t="s">
        <v>11</v>
      </c>
      <c r="N16" s="112"/>
      <c r="P16" s="113" t="s">
        <v>499</v>
      </c>
      <c r="Q16" s="113"/>
      <c r="R16" s="113"/>
    </row>
    <row r="17" spans="2:18">
      <c r="B17" s="111" t="s">
        <v>563</v>
      </c>
      <c r="G17" s="127">
        <v>0.03</v>
      </c>
      <c r="H17" s="111" t="s">
        <v>564</v>
      </c>
      <c r="J17" s="111" t="s">
        <v>565</v>
      </c>
      <c r="M17" s="116">
        <f>N17*$G$12</f>
        <v>597315.66570000001</v>
      </c>
      <c r="N17" s="575">
        <v>1.5</v>
      </c>
      <c r="P17" s="118" t="s">
        <v>478</v>
      </c>
      <c r="R17" s="116">
        <f ca="1">G32</f>
        <v>63181338.825687803</v>
      </c>
    </row>
    <row r="18" spans="2:18">
      <c r="B18" s="111" t="s">
        <v>566</v>
      </c>
      <c r="G18" s="127">
        <v>0.02</v>
      </c>
      <c r="J18" s="111" t="s">
        <v>567</v>
      </c>
      <c r="M18" s="116">
        <f>N18*$G$12</f>
        <v>597315.66570000001</v>
      </c>
      <c r="N18" s="575">
        <v>1.5</v>
      </c>
      <c r="P18" s="118" t="s">
        <v>28</v>
      </c>
      <c r="R18" s="116">
        <f ca="1">R19-R17</f>
        <v>27077716.639580496</v>
      </c>
    </row>
    <row r="19" spans="2:18">
      <c r="B19" s="111" t="s">
        <v>568</v>
      </c>
      <c r="G19" s="127">
        <v>0.1</v>
      </c>
      <c r="H19" s="111" t="s">
        <v>590</v>
      </c>
      <c r="J19" s="111" t="s">
        <v>36</v>
      </c>
      <c r="M19" s="116">
        <f>N19*$G$12</f>
        <v>796420.88760000002</v>
      </c>
      <c r="N19" s="575">
        <v>2</v>
      </c>
      <c r="P19" s="123" t="s">
        <v>458</v>
      </c>
      <c r="Q19" s="120"/>
      <c r="R19" s="121">
        <f ca="1">R14</f>
        <v>90259055.465268299</v>
      </c>
    </row>
    <row r="20" spans="2:18">
      <c r="B20" s="111" t="s">
        <v>569</v>
      </c>
      <c r="G20" s="577">
        <v>50</v>
      </c>
      <c r="H20" s="111" t="s">
        <v>570</v>
      </c>
      <c r="J20" s="411" t="s">
        <v>728</v>
      </c>
      <c r="M20" s="116">
        <f>N20*$M$12</f>
        <v>647171.61326376011</v>
      </c>
      <c r="N20" s="412">
        <f>Taxes!$H$13</f>
        <v>0.04</v>
      </c>
    </row>
    <row r="21" spans="2:18">
      <c r="B21" s="111" t="s">
        <v>572</v>
      </c>
      <c r="G21" s="578">
        <v>0.06</v>
      </c>
      <c r="J21" s="111" t="s">
        <v>571</v>
      </c>
      <c r="M21" s="116">
        <f>N21*$M$12</f>
        <v>485378.70994782005</v>
      </c>
      <c r="N21" s="576">
        <v>0.03</v>
      </c>
      <c r="P21" s="111" t="s">
        <v>394</v>
      </c>
      <c r="R21" s="127">
        <v>0.08</v>
      </c>
    </row>
    <row r="22" spans="2:18">
      <c r="B22" s="111" t="s">
        <v>389</v>
      </c>
      <c r="G22" s="579">
        <v>5.8000000000000003E-2</v>
      </c>
      <c r="J22" s="120" t="s">
        <v>414</v>
      </c>
      <c r="K22" s="120"/>
      <c r="L22" s="120"/>
      <c r="M22" s="121">
        <f>SUM(M17:M21)</f>
        <v>3123602.5422115801</v>
      </c>
      <c r="N22" s="656">
        <v>4</v>
      </c>
    </row>
    <row r="23" spans="2:18">
      <c r="B23" s="111" t="s">
        <v>390</v>
      </c>
      <c r="G23" s="579">
        <v>5.5E-2</v>
      </c>
      <c r="N23" s="112"/>
    </row>
    <row r="24" spans="2:18">
      <c r="B24" s="111" t="s">
        <v>573</v>
      </c>
      <c r="G24" s="580">
        <v>0</v>
      </c>
      <c r="H24" s="111" t="s">
        <v>574</v>
      </c>
      <c r="J24" s="111" t="s">
        <v>575</v>
      </c>
      <c r="M24" s="116">
        <f>M14-M22</f>
        <v>11437758.756223019</v>
      </c>
      <c r="N24" s="112"/>
    </row>
    <row r="25" spans="2:18">
      <c r="B25" s="111" t="s">
        <v>391</v>
      </c>
      <c r="G25" s="156">
        <v>10</v>
      </c>
      <c r="H25" s="111" t="s">
        <v>560</v>
      </c>
      <c r="M25" s="116"/>
      <c r="N25" s="112"/>
    </row>
    <row r="26" spans="2:18">
      <c r="B26" s="111" t="s">
        <v>393</v>
      </c>
      <c r="G26" s="578">
        <v>0</v>
      </c>
      <c r="J26" s="128"/>
      <c r="M26" s="116"/>
      <c r="N26" s="112"/>
    </row>
    <row r="27" spans="2:18">
      <c r="J27" s="128"/>
      <c r="N27" s="112"/>
    </row>
    <row r="28" spans="2:18">
      <c r="B28" s="113" t="s">
        <v>576</v>
      </c>
      <c r="C28" s="113"/>
      <c r="D28" s="113"/>
      <c r="E28" s="113"/>
      <c r="F28" s="113"/>
      <c r="G28" s="113"/>
      <c r="H28" s="113"/>
      <c r="I28" s="114"/>
      <c r="N28" s="112"/>
    </row>
    <row r="29" spans="2:18">
      <c r="B29" s="111" t="s">
        <v>577</v>
      </c>
      <c r="G29" s="127">
        <v>0.7</v>
      </c>
      <c r="H29" s="111" t="s">
        <v>578</v>
      </c>
      <c r="J29" s="124"/>
      <c r="N29" s="112"/>
    </row>
    <row r="30" spans="2:18">
      <c r="B30" s="111" t="s">
        <v>460</v>
      </c>
      <c r="G30" s="127">
        <v>0.05</v>
      </c>
      <c r="J30" s="124"/>
    </row>
    <row r="31" spans="2:18">
      <c r="B31" s="111" t="s">
        <v>540</v>
      </c>
      <c r="G31" s="111">
        <v>30</v>
      </c>
      <c r="H31" s="111" t="s">
        <v>579</v>
      </c>
    </row>
    <row r="32" spans="2:18">
      <c r="B32" s="111" t="s">
        <v>580</v>
      </c>
      <c r="G32" s="116">
        <f ca="1">G29*R14</f>
        <v>63181338.825687803</v>
      </c>
    </row>
    <row r="33" spans="1:37">
      <c r="B33" s="111" t="s">
        <v>581</v>
      </c>
      <c r="G33" s="116">
        <f ca="1">PMT(G30/12,G31*12,G32)</f>
        <v>-339171.08852485602</v>
      </c>
    </row>
    <row r="35" spans="1:37">
      <c r="A35" s="111" t="s">
        <v>472</v>
      </c>
      <c r="B35" s="113" t="s">
        <v>513</v>
      </c>
      <c r="C35" s="113"/>
      <c r="D35" s="113"/>
      <c r="E35" s="113"/>
      <c r="F35" s="113"/>
      <c r="G35" s="129">
        <v>0</v>
      </c>
      <c r="H35" s="129">
        <f>G35+1</f>
        <v>1</v>
      </c>
      <c r="I35" s="129">
        <f t="shared" ref="I35:R35" si="0">H35+1</f>
        <v>2</v>
      </c>
      <c r="J35" s="129">
        <f t="shared" si="0"/>
        <v>3</v>
      </c>
      <c r="K35" s="129">
        <f t="shared" si="0"/>
        <v>4</v>
      </c>
      <c r="L35" s="129">
        <f t="shared" si="0"/>
        <v>5</v>
      </c>
      <c r="M35" s="129">
        <f t="shared" si="0"/>
        <v>6</v>
      </c>
      <c r="N35" s="129">
        <f t="shared" si="0"/>
        <v>7</v>
      </c>
      <c r="O35" s="129">
        <f t="shared" si="0"/>
        <v>8</v>
      </c>
      <c r="P35" s="129">
        <f t="shared" si="0"/>
        <v>9</v>
      </c>
      <c r="Q35" s="129">
        <f t="shared" si="0"/>
        <v>10</v>
      </c>
      <c r="R35" s="129">
        <f t="shared" si="0"/>
        <v>11</v>
      </c>
      <c r="S35" s="129">
        <f t="shared" ref="S35" si="1">R35+1</f>
        <v>12</v>
      </c>
      <c r="T35" s="129">
        <f t="shared" ref="T35" si="2">S35+1</f>
        <v>13</v>
      </c>
      <c r="U35" s="129">
        <f t="shared" ref="U35" si="3">T35+1</f>
        <v>14</v>
      </c>
      <c r="V35" s="129">
        <f t="shared" ref="V35" si="4">U35+1</f>
        <v>15</v>
      </c>
      <c r="W35" s="129">
        <f t="shared" ref="W35" si="5">V35+1</f>
        <v>16</v>
      </c>
      <c r="X35" s="129">
        <f t="shared" ref="X35" si="6">W35+1</f>
        <v>17</v>
      </c>
      <c r="Y35" s="129">
        <f t="shared" ref="Y35" si="7">X35+1</f>
        <v>18</v>
      </c>
      <c r="Z35" s="129">
        <f t="shared" ref="Z35" si="8">Y35+1</f>
        <v>19</v>
      </c>
      <c r="AA35" s="129">
        <f t="shared" ref="AA35" si="9">Z35+1</f>
        <v>20</v>
      </c>
      <c r="AB35" s="129">
        <f t="shared" ref="AB35" si="10">AA35+1</f>
        <v>21</v>
      </c>
      <c r="AC35" s="129">
        <f t="shared" ref="AC35" si="11">AB35+1</f>
        <v>22</v>
      </c>
      <c r="AD35" s="129">
        <f t="shared" ref="AD35" si="12">AC35+1</f>
        <v>23</v>
      </c>
      <c r="AE35" s="129">
        <f t="shared" ref="AE35" si="13">AD35+1</f>
        <v>24</v>
      </c>
      <c r="AF35" s="129">
        <f t="shared" ref="AF35" si="14">AE35+1</f>
        <v>25</v>
      </c>
      <c r="AG35" s="129">
        <f t="shared" ref="AG35" si="15">AF35+1</f>
        <v>26</v>
      </c>
      <c r="AH35" s="129">
        <f t="shared" ref="AH35" si="16">AG35+1</f>
        <v>27</v>
      </c>
      <c r="AI35" s="129">
        <f t="shared" ref="AI35" si="17">AH35+1</f>
        <v>28</v>
      </c>
      <c r="AJ35" s="129">
        <f t="shared" ref="AJ35" si="18">AI35+1</f>
        <v>29</v>
      </c>
      <c r="AK35" s="129">
        <f t="shared" ref="AK35" si="19">AJ35+1</f>
        <v>30</v>
      </c>
    </row>
    <row r="36" spans="1:37">
      <c r="B36" s="111" t="s">
        <v>412</v>
      </c>
      <c r="H36" s="130">
        <f t="shared" ref="H36:AK36" si="20">1-$G$19</f>
        <v>0.9</v>
      </c>
      <c r="I36" s="130">
        <f t="shared" si="20"/>
        <v>0.9</v>
      </c>
      <c r="J36" s="130">
        <f t="shared" si="20"/>
        <v>0.9</v>
      </c>
      <c r="K36" s="130">
        <f t="shared" si="20"/>
        <v>0.9</v>
      </c>
      <c r="L36" s="130">
        <f t="shared" si="20"/>
        <v>0.9</v>
      </c>
      <c r="M36" s="130">
        <f t="shared" si="20"/>
        <v>0.9</v>
      </c>
      <c r="N36" s="130">
        <f t="shared" si="20"/>
        <v>0.9</v>
      </c>
      <c r="O36" s="130">
        <f t="shared" si="20"/>
        <v>0.9</v>
      </c>
      <c r="P36" s="130">
        <f t="shared" si="20"/>
        <v>0.9</v>
      </c>
      <c r="Q36" s="130">
        <f t="shared" si="20"/>
        <v>0.9</v>
      </c>
      <c r="R36" s="130">
        <f t="shared" si="20"/>
        <v>0.9</v>
      </c>
      <c r="S36" s="130">
        <f t="shared" si="20"/>
        <v>0.9</v>
      </c>
      <c r="T36" s="130">
        <f t="shared" si="20"/>
        <v>0.9</v>
      </c>
      <c r="U36" s="130">
        <f t="shared" si="20"/>
        <v>0.9</v>
      </c>
      <c r="V36" s="130">
        <f t="shared" si="20"/>
        <v>0.9</v>
      </c>
      <c r="W36" s="130">
        <f t="shared" si="20"/>
        <v>0.9</v>
      </c>
      <c r="X36" s="130">
        <f t="shared" si="20"/>
        <v>0.9</v>
      </c>
      <c r="Y36" s="130">
        <f t="shared" si="20"/>
        <v>0.9</v>
      </c>
      <c r="Z36" s="130">
        <f t="shared" si="20"/>
        <v>0.9</v>
      </c>
      <c r="AA36" s="130">
        <f t="shared" si="20"/>
        <v>0.9</v>
      </c>
      <c r="AB36" s="130">
        <f t="shared" si="20"/>
        <v>0.9</v>
      </c>
      <c r="AC36" s="130">
        <f t="shared" si="20"/>
        <v>0.9</v>
      </c>
      <c r="AD36" s="130">
        <f t="shared" si="20"/>
        <v>0.9</v>
      </c>
      <c r="AE36" s="130">
        <f t="shared" si="20"/>
        <v>0.9</v>
      </c>
      <c r="AF36" s="130">
        <f t="shared" si="20"/>
        <v>0.9</v>
      </c>
      <c r="AG36" s="130">
        <f t="shared" si="20"/>
        <v>0.9</v>
      </c>
      <c r="AH36" s="130">
        <f t="shared" si="20"/>
        <v>0.9</v>
      </c>
      <c r="AI36" s="130">
        <f t="shared" si="20"/>
        <v>0.9</v>
      </c>
      <c r="AJ36" s="130">
        <f t="shared" si="20"/>
        <v>0.9</v>
      </c>
      <c r="AK36" s="130">
        <f t="shared" si="20"/>
        <v>0.9</v>
      </c>
    </row>
    <row r="38" spans="1:37">
      <c r="B38" s="111" t="s">
        <v>595</v>
      </c>
      <c r="G38" s="116">
        <f ca="1">-R14</f>
        <v>-90259055.465268299</v>
      </c>
    </row>
    <row r="39" spans="1:37">
      <c r="I39" s="131"/>
    </row>
    <row r="40" spans="1:37">
      <c r="B40" s="111" t="s">
        <v>509</v>
      </c>
      <c r="H40" s="116">
        <f t="shared" ref="H40:R40" si="21">$M$12*(1+$G$17)^G35</f>
        <v>16179290.331594002</v>
      </c>
      <c r="I40" s="116">
        <f t="shared" si="21"/>
        <v>16664669.041541822</v>
      </c>
      <c r="J40" s="116">
        <f t="shared" si="21"/>
        <v>17164609.112788074</v>
      </c>
      <c r="K40" s="116">
        <f t="shared" si="21"/>
        <v>17679547.386171717</v>
      </c>
      <c r="L40" s="116">
        <f t="shared" si="21"/>
        <v>18209933.807756867</v>
      </c>
      <c r="M40" s="116">
        <f t="shared" si="21"/>
        <v>18756231.821989574</v>
      </c>
      <c r="N40" s="116">
        <f t="shared" si="21"/>
        <v>19318918.776649263</v>
      </c>
      <c r="O40" s="116">
        <f t="shared" si="21"/>
        <v>19898486.33994874</v>
      </c>
      <c r="P40" s="116">
        <f t="shared" si="21"/>
        <v>20495440.930147201</v>
      </c>
      <c r="Q40" s="116">
        <f t="shared" si="21"/>
        <v>21110304.158051617</v>
      </c>
      <c r="R40" s="116">
        <f t="shared" si="21"/>
        <v>21743613.282793164</v>
      </c>
      <c r="S40" s="116">
        <f t="shared" ref="S40" si="22">$M$12*(1+$G$17)^R35</f>
        <v>22395921.681276962</v>
      </c>
      <c r="T40" s="116">
        <f t="shared" ref="T40" si="23">$M$12*(1+$G$17)^S35</f>
        <v>23067799.331715267</v>
      </c>
      <c r="U40" s="116">
        <f t="shared" ref="U40" si="24">$M$12*(1+$G$17)^T35</f>
        <v>23759833.311666723</v>
      </c>
      <c r="V40" s="116">
        <f t="shared" ref="V40" si="25">$M$12*(1+$G$17)^U35</f>
        <v>24472628.311016727</v>
      </c>
      <c r="W40" s="116">
        <f t="shared" ref="W40" si="26">$M$12*(1+$G$17)^V35</f>
        <v>25206807.160347231</v>
      </c>
      <c r="X40" s="116">
        <f t="shared" ref="X40" si="27">$M$12*(1+$G$17)^W35</f>
        <v>25963011.375157643</v>
      </c>
      <c r="Y40" s="116">
        <f t="shared" ref="Y40" si="28">$M$12*(1+$G$17)^X35</f>
        <v>26741901.716412373</v>
      </c>
      <c r="Z40" s="116">
        <f t="shared" ref="Z40" si="29">$M$12*(1+$G$17)^Y35</f>
        <v>27544158.767904744</v>
      </c>
      <c r="AA40" s="116">
        <f t="shared" ref="AA40" si="30">$M$12*(1+$G$17)^Z35</f>
        <v>28370483.530941885</v>
      </c>
      <c r="AB40" s="116">
        <f t="shared" ref="AB40" si="31">$M$12*(1+$G$17)^AA35</f>
        <v>29221598.036870144</v>
      </c>
      <c r="AC40" s="116">
        <f t="shared" ref="AC40" si="32">$M$12*(1+$G$17)^AB35</f>
        <v>30098245.977976244</v>
      </c>
      <c r="AD40" s="116">
        <f t="shared" ref="AD40" si="33">$M$12*(1+$G$17)^AC35</f>
        <v>31001193.357315533</v>
      </c>
      <c r="AE40" s="116">
        <f t="shared" ref="AE40" si="34">$M$12*(1+$G$17)^AD35</f>
        <v>31931229.158035003</v>
      </c>
      <c r="AF40" s="116">
        <f t="shared" ref="AF40" si="35">$M$12*(1+$G$17)^AE35</f>
        <v>32889166.032776047</v>
      </c>
      <c r="AG40" s="116">
        <f t="shared" ref="AG40" si="36">$M$12*(1+$G$17)^AF35</f>
        <v>33875841.01375933</v>
      </c>
      <c r="AH40" s="116">
        <f t="shared" ref="AH40" si="37">$M$12*(1+$G$17)^AG35</f>
        <v>34892116.244172111</v>
      </c>
      <c r="AI40" s="116">
        <f t="shared" ref="AI40" si="38">$M$12*(1+$G$17)^AH35</f>
        <v>35938879.731497273</v>
      </c>
      <c r="AJ40" s="116">
        <f t="shared" ref="AJ40" si="39">$M$12*(1+$G$17)^AI35</f>
        <v>37017046.123442188</v>
      </c>
      <c r="AK40" s="116">
        <f t="shared" ref="AK40" si="40">$M$12*(1+$G$17)^AJ35</f>
        <v>38127557.50714545</v>
      </c>
    </row>
    <row r="41" spans="1:37">
      <c r="C41" s="111" t="s">
        <v>521</v>
      </c>
      <c r="H41" s="116">
        <f>-(1-H36)*H40</f>
        <v>-1617929.0331593999</v>
      </c>
      <c r="I41" s="116">
        <f t="shared" ref="I41:R41" si="41">-(1-I36)*I40</f>
        <v>-1666466.9041541819</v>
      </c>
      <c r="J41" s="116">
        <f t="shared" si="41"/>
        <v>-1716460.9112788071</v>
      </c>
      <c r="K41" s="116">
        <f t="shared" si="41"/>
        <v>-1767954.7386171713</v>
      </c>
      <c r="L41" s="116">
        <f t="shared" si="41"/>
        <v>-1820993.3807756864</v>
      </c>
      <c r="M41" s="116">
        <f t="shared" si="41"/>
        <v>-1875623.1821989568</v>
      </c>
      <c r="N41" s="116">
        <f t="shared" si="41"/>
        <v>-1931891.8776649258</v>
      </c>
      <c r="O41" s="116">
        <f t="shared" si="41"/>
        <v>-1989848.6339948736</v>
      </c>
      <c r="P41" s="116">
        <f t="shared" si="41"/>
        <v>-2049544.0930147197</v>
      </c>
      <c r="Q41" s="116">
        <f t="shared" si="41"/>
        <v>-2111030.4158051615</v>
      </c>
      <c r="R41" s="116">
        <f t="shared" si="41"/>
        <v>-2174361.328279316</v>
      </c>
      <c r="S41" s="116">
        <f t="shared" ref="S41:AK41" si="42">-(1-S36)*S40</f>
        <v>-2239592.1681276956</v>
      </c>
      <c r="T41" s="116">
        <f t="shared" si="42"/>
        <v>-2306779.9331715261</v>
      </c>
      <c r="U41" s="116">
        <f t="shared" si="42"/>
        <v>-2375983.3311666716</v>
      </c>
      <c r="V41" s="116">
        <f t="shared" si="42"/>
        <v>-2447262.8311016723</v>
      </c>
      <c r="W41" s="116">
        <f t="shared" si="42"/>
        <v>-2520680.7160347225</v>
      </c>
      <c r="X41" s="116">
        <f t="shared" si="42"/>
        <v>-2596301.1375157638</v>
      </c>
      <c r="Y41" s="116">
        <f t="shared" si="42"/>
        <v>-2674190.1716412366</v>
      </c>
      <c r="Z41" s="116">
        <f t="shared" si="42"/>
        <v>-2754415.8767904737</v>
      </c>
      <c r="AA41" s="116">
        <f t="shared" si="42"/>
        <v>-2837048.353094188</v>
      </c>
      <c r="AB41" s="116">
        <f t="shared" si="42"/>
        <v>-2922159.8036870137</v>
      </c>
      <c r="AC41" s="116">
        <f t="shared" si="42"/>
        <v>-3009824.5977976238</v>
      </c>
      <c r="AD41" s="116">
        <f t="shared" si="42"/>
        <v>-3100119.3357315524</v>
      </c>
      <c r="AE41" s="116">
        <f t="shared" si="42"/>
        <v>-3193122.9158034995</v>
      </c>
      <c r="AF41" s="116">
        <f t="shared" si="42"/>
        <v>-3288916.6032776041</v>
      </c>
      <c r="AG41" s="116">
        <f t="shared" si="42"/>
        <v>-3387584.1013759323</v>
      </c>
      <c r="AH41" s="116">
        <f t="shared" si="42"/>
        <v>-3489211.6244172105</v>
      </c>
      <c r="AI41" s="116">
        <f t="shared" si="42"/>
        <v>-3593887.9731497266</v>
      </c>
      <c r="AJ41" s="116">
        <f t="shared" si="42"/>
        <v>-3701704.612344218</v>
      </c>
      <c r="AK41" s="116">
        <f t="shared" si="42"/>
        <v>-3812755.7507145442</v>
      </c>
    </row>
    <row r="42" spans="1:37">
      <c r="C42" s="111" t="s">
        <v>573</v>
      </c>
      <c r="H42" s="116">
        <v>0</v>
      </c>
      <c r="I42" s="116">
        <v>0</v>
      </c>
      <c r="J42" s="116">
        <v>0</v>
      </c>
      <c r="K42" s="116">
        <v>0</v>
      </c>
      <c r="L42" s="116">
        <v>0</v>
      </c>
      <c r="M42" s="116">
        <v>0</v>
      </c>
      <c r="N42" s="116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v>0</v>
      </c>
      <c r="Z42" s="116">
        <v>0</v>
      </c>
      <c r="AA42" s="116">
        <v>0</v>
      </c>
      <c r="AB42" s="116">
        <v>0</v>
      </c>
      <c r="AC42" s="116">
        <v>0</v>
      </c>
      <c r="AD42" s="116"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</row>
    <row r="43" spans="1:37">
      <c r="B43" s="120" t="s">
        <v>522</v>
      </c>
      <c r="C43" s="120"/>
      <c r="D43" s="120"/>
      <c r="E43" s="120"/>
      <c r="F43" s="120"/>
      <c r="G43" s="120"/>
      <c r="H43" s="121">
        <f>SUM(H40:H42)</f>
        <v>14561361.298434602</v>
      </c>
      <c r="I43" s="121">
        <f t="shared" ref="I43:R43" si="43">SUM(I40:I42)</f>
        <v>14998202.137387641</v>
      </c>
      <c r="J43" s="121">
        <f t="shared" si="43"/>
        <v>15448148.201509267</v>
      </c>
      <c r="K43" s="121">
        <f t="shared" si="43"/>
        <v>15911592.647554547</v>
      </c>
      <c r="L43" s="121">
        <f t="shared" si="43"/>
        <v>16388940.426981181</v>
      </c>
      <c r="M43" s="121">
        <f t="shared" si="43"/>
        <v>16880608.639790617</v>
      </c>
      <c r="N43" s="121">
        <f t="shared" si="43"/>
        <v>17387026.898984335</v>
      </c>
      <c r="O43" s="121">
        <f t="shared" si="43"/>
        <v>17908637.705953866</v>
      </c>
      <c r="P43" s="121">
        <f t="shared" si="43"/>
        <v>18445896.83713248</v>
      </c>
      <c r="Q43" s="121">
        <f t="shared" si="43"/>
        <v>18999273.742246456</v>
      </c>
      <c r="R43" s="121">
        <f t="shared" si="43"/>
        <v>19569251.954513848</v>
      </c>
      <c r="S43" s="121">
        <f t="shared" ref="S43:AK43" si="44">SUM(S40:S42)</f>
        <v>20156329.513149265</v>
      </c>
      <c r="T43" s="121">
        <f t="shared" si="44"/>
        <v>20761019.398543742</v>
      </c>
      <c r="U43" s="121">
        <f t="shared" si="44"/>
        <v>21383849.98050005</v>
      </c>
      <c r="V43" s="121">
        <f t="shared" si="44"/>
        <v>22025365.479915056</v>
      </c>
      <c r="W43" s="121">
        <f t="shared" si="44"/>
        <v>22686126.444312509</v>
      </c>
      <c r="X43" s="121">
        <f t="shared" si="44"/>
        <v>23366710.237641878</v>
      </c>
      <c r="Y43" s="121">
        <f t="shared" si="44"/>
        <v>24067711.544771135</v>
      </c>
      <c r="Z43" s="121">
        <f t="shared" si="44"/>
        <v>24789742.891114268</v>
      </c>
      <c r="AA43" s="121">
        <f t="shared" si="44"/>
        <v>25533435.177847698</v>
      </c>
      <c r="AB43" s="121">
        <f t="shared" si="44"/>
        <v>26299438.233183131</v>
      </c>
      <c r="AC43" s="121">
        <f t="shared" si="44"/>
        <v>27088421.380178619</v>
      </c>
      <c r="AD43" s="121">
        <f t="shared" si="44"/>
        <v>27901074.021583982</v>
      </c>
      <c r="AE43" s="121">
        <f t="shared" si="44"/>
        <v>28738106.242231503</v>
      </c>
      <c r="AF43" s="121">
        <f t="shared" si="44"/>
        <v>29600249.429498442</v>
      </c>
      <c r="AG43" s="121">
        <f t="shared" si="44"/>
        <v>30488256.912383396</v>
      </c>
      <c r="AH43" s="121">
        <f t="shared" si="44"/>
        <v>31402904.619754899</v>
      </c>
      <c r="AI43" s="121">
        <f t="shared" si="44"/>
        <v>32344991.758347545</v>
      </c>
      <c r="AJ43" s="121">
        <f t="shared" si="44"/>
        <v>33315341.511097971</v>
      </c>
      <c r="AK43" s="121">
        <f t="shared" si="44"/>
        <v>34314801.756430909</v>
      </c>
    </row>
    <row r="45" spans="1:37">
      <c r="B45" s="111" t="s">
        <v>413</v>
      </c>
    </row>
    <row r="46" spans="1:37">
      <c r="C46" s="111" t="str">
        <f>J17</f>
        <v>Repairs and Maintenance</v>
      </c>
      <c r="H46" s="116">
        <f t="shared" ref="H46:R49" si="45">$M17*(1+$G$18)^G$35</f>
        <v>597315.66570000001</v>
      </c>
      <c r="I46" s="116">
        <f t="shared" si="45"/>
        <v>609261.97901400004</v>
      </c>
      <c r="J46" s="116">
        <f t="shared" si="45"/>
        <v>621447.21859427996</v>
      </c>
      <c r="K46" s="116">
        <f t="shared" si="45"/>
        <v>633876.16296616558</v>
      </c>
      <c r="L46" s="116">
        <f t="shared" si="45"/>
        <v>646553.6862254889</v>
      </c>
      <c r="M46" s="116">
        <f t="shared" si="45"/>
        <v>659484.7599499987</v>
      </c>
      <c r="N46" s="116">
        <f t="shared" si="45"/>
        <v>672674.45514899876</v>
      </c>
      <c r="O46" s="116">
        <f t="shared" si="45"/>
        <v>686127.94425197854</v>
      </c>
      <c r="P46" s="116">
        <f t="shared" si="45"/>
        <v>699850.50313701818</v>
      </c>
      <c r="Q46" s="116">
        <f t="shared" si="45"/>
        <v>713847.5131997586</v>
      </c>
      <c r="R46" s="116">
        <f t="shared" si="45"/>
        <v>728124.46346375369</v>
      </c>
      <c r="S46" s="116">
        <f t="shared" ref="S46:S49" si="46">$M17*(1+$G$18)^R$35</f>
        <v>742686.95273302868</v>
      </c>
      <c r="T46" s="116">
        <f t="shared" ref="T46:T49" si="47">$M17*(1+$G$18)^S$35</f>
        <v>757540.69178768934</v>
      </c>
      <c r="U46" s="116">
        <f t="shared" ref="U46:U49" si="48">$M17*(1+$G$18)^T$35</f>
        <v>772691.50562344317</v>
      </c>
      <c r="V46" s="116">
        <f t="shared" ref="V46:V49" si="49">$M17*(1+$G$18)^U$35</f>
        <v>788145.33573591209</v>
      </c>
      <c r="W46" s="116">
        <f t="shared" ref="W46:W49" si="50">$M17*(1+$G$18)^V$35</f>
        <v>803908.24245063006</v>
      </c>
      <c r="X46" s="116">
        <f t="shared" ref="X46:X49" si="51">$M17*(1+$G$18)^W$35</f>
        <v>819986.4072996428</v>
      </c>
      <c r="Y46" s="116">
        <f t="shared" ref="Y46:Y49" si="52">$M17*(1+$G$18)^X$35</f>
        <v>836386.13544563577</v>
      </c>
      <c r="Z46" s="116">
        <f t="shared" ref="Z46:Z49" si="53">$M17*(1+$G$18)^Y$35</f>
        <v>853113.85815454833</v>
      </c>
      <c r="AA46" s="116">
        <f t="shared" ref="AA46:AA49" si="54">$M17*(1+$G$18)^Z$35</f>
        <v>870176.13531763933</v>
      </c>
      <c r="AB46" s="116">
        <f t="shared" ref="AB46:AB49" si="55">$M17*(1+$G$18)^AA$35</f>
        <v>887579.6580239922</v>
      </c>
      <c r="AC46" s="116">
        <f t="shared" ref="AC46:AC49" si="56">$M17*(1+$G$18)^AB$35</f>
        <v>905331.251184472</v>
      </c>
      <c r="AD46" s="116">
        <f t="shared" ref="AD46:AD49" si="57">$M17*(1+$G$18)^AC$35</f>
        <v>923437.87620816147</v>
      </c>
      <c r="AE46" s="116">
        <f t="shared" ref="AE46:AE49" si="58">$M17*(1+$G$18)^AD$35</f>
        <v>941906.63373232447</v>
      </c>
      <c r="AF46" s="116">
        <f t="shared" ref="AF46:AF49" si="59">$M17*(1+$G$18)^AE$35</f>
        <v>960744.76640697103</v>
      </c>
      <c r="AG46" s="116">
        <f t="shared" ref="AG46:AG49" si="60">$M17*(1+$G$18)^AF$35</f>
        <v>979959.66173511045</v>
      </c>
      <c r="AH46" s="116">
        <f t="shared" ref="AH46:AH49" si="61">$M17*(1+$G$18)^AG$35</f>
        <v>999558.85496981279</v>
      </c>
      <c r="AI46" s="116">
        <f t="shared" ref="AI46:AI49" si="62">$M17*(1+$G$18)^AH$35</f>
        <v>1019550.0320692088</v>
      </c>
      <c r="AJ46" s="116">
        <f t="shared" ref="AJ46:AJ49" si="63">$M17*(1+$G$18)^AI$35</f>
        <v>1039941.0327105932</v>
      </c>
      <c r="AK46" s="116">
        <f t="shared" ref="AK46:AK49" si="64">$M17*(1+$G$18)^AJ$35</f>
        <v>1060739.853364805</v>
      </c>
    </row>
    <row r="47" spans="1:37">
      <c r="C47" s="111" t="str">
        <f>J18</f>
        <v>Administrative</v>
      </c>
      <c r="H47" s="116">
        <f t="shared" si="45"/>
        <v>597315.66570000001</v>
      </c>
      <c r="I47" s="116">
        <f t="shared" si="45"/>
        <v>609261.97901400004</v>
      </c>
      <c r="J47" s="116">
        <f t="shared" si="45"/>
        <v>621447.21859427996</v>
      </c>
      <c r="K47" s="116">
        <f t="shared" si="45"/>
        <v>633876.16296616558</v>
      </c>
      <c r="L47" s="116">
        <f t="shared" si="45"/>
        <v>646553.6862254889</v>
      </c>
      <c r="M47" s="116">
        <f t="shared" si="45"/>
        <v>659484.7599499987</v>
      </c>
      <c r="N47" s="116">
        <f t="shared" si="45"/>
        <v>672674.45514899876</v>
      </c>
      <c r="O47" s="116">
        <f t="shared" si="45"/>
        <v>686127.94425197854</v>
      </c>
      <c r="P47" s="116">
        <f t="shared" si="45"/>
        <v>699850.50313701818</v>
      </c>
      <c r="Q47" s="116">
        <f t="shared" si="45"/>
        <v>713847.5131997586</v>
      </c>
      <c r="R47" s="116">
        <f t="shared" si="45"/>
        <v>728124.46346375369</v>
      </c>
      <c r="S47" s="116">
        <f t="shared" si="46"/>
        <v>742686.95273302868</v>
      </c>
      <c r="T47" s="116">
        <f t="shared" si="47"/>
        <v>757540.69178768934</v>
      </c>
      <c r="U47" s="116">
        <f t="shared" si="48"/>
        <v>772691.50562344317</v>
      </c>
      <c r="V47" s="116">
        <f t="shared" si="49"/>
        <v>788145.33573591209</v>
      </c>
      <c r="W47" s="116">
        <f t="shared" si="50"/>
        <v>803908.24245063006</v>
      </c>
      <c r="X47" s="116">
        <f t="shared" si="51"/>
        <v>819986.4072996428</v>
      </c>
      <c r="Y47" s="116">
        <f t="shared" si="52"/>
        <v>836386.13544563577</v>
      </c>
      <c r="Z47" s="116">
        <f t="shared" si="53"/>
        <v>853113.85815454833</v>
      </c>
      <c r="AA47" s="116">
        <f t="shared" si="54"/>
        <v>870176.13531763933</v>
      </c>
      <c r="AB47" s="116">
        <f t="shared" si="55"/>
        <v>887579.6580239922</v>
      </c>
      <c r="AC47" s="116">
        <f t="shared" si="56"/>
        <v>905331.251184472</v>
      </c>
      <c r="AD47" s="116">
        <f t="shared" si="57"/>
        <v>923437.87620816147</v>
      </c>
      <c r="AE47" s="116">
        <f t="shared" si="58"/>
        <v>941906.63373232447</v>
      </c>
      <c r="AF47" s="116">
        <f t="shared" si="59"/>
        <v>960744.76640697103</v>
      </c>
      <c r="AG47" s="116">
        <f t="shared" si="60"/>
        <v>979959.66173511045</v>
      </c>
      <c r="AH47" s="116">
        <f t="shared" si="61"/>
        <v>999558.85496981279</v>
      </c>
      <c r="AI47" s="116">
        <f t="shared" si="62"/>
        <v>1019550.0320692088</v>
      </c>
      <c r="AJ47" s="116">
        <f t="shared" si="63"/>
        <v>1039941.0327105932</v>
      </c>
      <c r="AK47" s="116">
        <f t="shared" si="64"/>
        <v>1060739.853364805</v>
      </c>
    </row>
    <row r="48" spans="1:37">
      <c r="C48" s="111" t="str">
        <f>J19</f>
        <v>Utilities</v>
      </c>
      <c r="H48" s="116">
        <f t="shared" si="45"/>
        <v>796420.88760000002</v>
      </c>
      <c r="I48" s="116">
        <f t="shared" si="45"/>
        <v>812349.30535200005</v>
      </c>
      <c r="J48" s="116">
        <f t="shared" si="45"/>
        <v>828596.29145904002</v>
      </c>
      <c r="K48" s="116">
        <f t="shared" si="45"/>
        <v>845168.21728822077</v>
      </c>
      <c r="L48" s="116">
        <f t="shared" si="45"/>
        <v>862071.58163398516</v>
      </c>
      <c r="M48" s="116">
        <f t="shared" si="45"/>
        <v>879313.01326666493</v>
      </c>
      <c r="N48" s="116">
        <f t="shared" si="45"/>
        <v>896899.27353199827</v>
      </c>
      <c r="O48" s="116">
        <f t="shared" si="45"/>
        <v>914837.25900263805</v>
      </c>
      <c r="P48" s="116">
        <f t="shared" si="45"/>
        <v>933134.00418269087</v>
      </c>
      <c r="Q48" s="116">
        <f t="shared" si="45"/>
        <v>951796.68426634476</v>
      </c>
      <c r="R48" s="116">
        <f t="shared" si="45"/>
        <v>970832.61795167171</v>
      </c>
      <c r="S48" s="116">
        <f t="shared" si="46"/>
        <v>990249.27031070495</v>
      </c>
      <c r="T48" s="116">
        <f t="shared" si="47"/>
        <v>1010054.2557169192</v>
      </c>
      <c r="U48" s="116">
        <f t="shared" si="48"/>
        <v>1030255.3408312575</v>
      </c>
      <c r="V48" s="116">
        <f t="shared" si="49"/>
        <v>1050860.4476478829</v>
      </c>
      <c r="W48" s="116">
        <f t="shared" si="50"/>
        <v>1071877.6566008402</v>
      </c>
      <c r="X48" s="116">
        <f t="shared" si="51"/>
        <v>1093315.2097328571</v>
      </c>
      <c r="Y48" s="116">
        <f t="shared" si="52"/>
        <v>1115181.5139275144</v>
      </c>
      <c r="Z48" s="116">
        <f t="shared" si="53"/>
        <v>1137485.1442060645</v>
      </c>
      <c r="AA48" s="116">
        <f t="shared" si="54"/>
        <v>1160234.8470901859</v>
      </c>
      <c r="AB48" s="116">
        <f t="shared" si="55"/>
        <v>1183439.5440319895</v>
      </c>
      <c r="AC48" s="116">
        <f t="shared" si="56"/>
        <v>1207108.3349126293</v>
      </c>
      <c r="AD48" s="116">
        <f t="shared" si="57"/>
        <v>1231250.5016108819</v>
      </c>
      <c r="AE48" s="116">
        <f t="shared" si="58"/>
        <v>1255875.5116430994</v>
      </c>
      <c r="AF48" s="116">
        <f t="shared" si="59"/>
        <v>1280993.0218759615</v>
      </c>
      <c r="AG48" s="116">
        <f t="shared" si="60"/>
        <v>1306612.8823134806</v>
      </c>
      <c r="AH48" s="116">
        <f t="shared" si="61"/>
        <v>1332745.1399597505</v>
      </c>
      <c r="AI48" s="116">
        <f t="shared" si="62"/>
        <v>1359400.0427589451</v>
      </c>
      <c r="AJ48" s="116">
        <f t="shared" si="63"/>
        <v>1386588.0436141244</v>
      </c>
      <c r="AK48" s="116">
        <f t="shared" si="64"/>
        <v>1414319.8044864065</v>
      </c>
    </row>
    <row r="49" spans="2:37">
      <c r="C49" s="111" t="str">
        <f>J20</f>
        <v>Real Estate Taxes</v>
      </c>
      <c r="H49" s="116">
        <f t="shared" si="45"/>
        <v>647171.61326376011</v>
      </c>
      <c r="I49" s="116">
        <f t="shared" ref="I49" si="65">$M20*(1+$G$18)^H$35</f>
        <v>660115.04552903527</v>
      </c>
      <c r="J49" s="116">
        <f t="shared" ref="J49" si="66">$M20*(1+$G$18)^I$35</f>
        <v>673317.34643961606</v>
      </c>
      <c r="K49" s="116">
        <f t="shared" ref="K49" si="67">$M20*(1+$G$18)^J$35</f>
        <v>686783.69336840825</v>
      </c>
      <c r="L49" s="116">
        <f t="shared" ref="L49" si="68">$M20*(1+$G$18)^K$35</f>
        <v>700519.3672357765</v>
      </c>
      <c r="M49" s="116">
        <f t="shared" ref="M49" si="69">$M20*(1+$G$18)^L$35</f>
        <v>714529.75458049204</v>
      </c>
      <c r="N49" s="116">
        <f t="shared" ref="N49" si="70">$M20*(1+$G$18)^M$35</f>
        <v>728820.3496721019</v>
      </c>
      <c r="O49" s="116">
        <f t="shared" ref="O49" si="71">$M20*(1+$G$18)^N$35</f>
        <v>743396.75666554377</v>
      </c>
      <c r="P49" s="116">
        <f t="shared" ref="P49" si="72">$M20*(1+$G$18)^O$35</f>
        <v>758264.69179885474</v>
      </c>
      <c r="Q49" s="116">
        <f t="shared" ref="Q49" si="73">$M20*(1+$G$18)^P$35</f>
        <v>773429.98563483183</v>
      </c>
      <c r="R49" s="116">
        <f t="shared" ref="R49" si="74">$M20*(1+$G$18)^Q$35</f>
        <v>788898.58534752857</v>
      </c>
      <c r="S49" s="116">
        <f t="shared" si="46"/>
        <v>804676.55705447891</v>
      </c>
      <c r="T49" s="116">
        <f t="shared" si="47"/>
        <v>820770.08819556865</v>
      </c>
      <c r="U49" s="116">
        <f t="shared" si="48"/>
        <v>837185.48995948001</v>
      </c>
      <c r="V49" s="116">
        <f t="shared" si="49"/>
        <v>853929.19975866971</v>
      </c>
      <c r="W49" s="116">
        <f t="shared" si="50"/>
        <v>871007.78375384281</v>
      </c>
      <c r="X49" s="116">
        <f t="shared" si="51"/>
        <v>888427.93942891981</v>
      </c>
      <c r="Y49" s="116">
        <f t="shared" si="52"/>
        <v>906196.4982174983</v>
      </c>
      <c r="Z49" s="116">
        <f t="shared" si="53"/>
        <v>924320.42818184814</v>
      </c>
      <c r="AA49" s="116">
        <f t="shared" si="54"/>
        <v>942806.83674548508</v>
      </c>
      <c r="AB49" s="116">
        <f t="shared" si="55"/>
        <v>961662.97348039492</v>
      </c>
      <c r="AC49" s="116">
        <f t="shared" si="56"/>
        <v>980896.23295000265</v>
      </c>
      <c r="AD49" s="116">
        <f t="shared" si="57"/>
        <v>1000514.1576090028</v>
      </c>
      <c r="AE49" s="116">
        <f t="shared" si="58"/>
        <v>1020524.4407611827</v>
      </c>
      <c r="AF49" s="116">
        <f t="shared" si="59"/>
        <v>1040934.9295764064</v>
      </c>
      <c r="AG49" s="116">
        <f t="shared" si="60"/>
        <v>1061753.6281679345</v>
      </c>
      <c r="AH49" s="116">
        <f t="shared" si="61"/>
        <v>1082988.7007312933</v>
      </c>
      <c r="AI49" s="116">
        <f t="shared" si="62"/>
        <v>1104648.474745919</v>
      </c>
      <c r="AJ49" s="116">
        <f t="shared" si="63"/>
        <v>1126741.4442408376</v>
      </c>
      <c r="AK49" s="116">
        <f t="shared" si="64"/>
        <v>1149276.2731256541</v>
      </c>
    </row>
    <row r="50" spans="2:37">
      <c r="C50" s="111" t="str">
        <f>J21</f>
        <v>Property Management Fee (% gross revenue)</v>
      </c>
      <c r="H50" s="116">
        <f t="shared" ref="H50:AK50" si="75">H40*$N$21</f>
        <v>485378.70994782005</v>
      </c>
      <c r="I50" s="116">
        <f t="shared" si="75"/>
        <v>499940.07124625467</v>
      </c>
      <c r="J50" s="116">
        <f t="shared" si="75"/>
        <v>514938.2733836422</v>
      </c>
      <c r="K50" s="116">
        <f t="shared" si="75"/>
        <v>530386.42158515146</v>
      </c>
      <c r="L50" s="116">
        <f t="shared" si="75"/>
        <v>546298.01423270605</v>
      </c>
      <c r="M50" s="116">
        <f t="shared" si="75"/>
        <v>562686.95465968724</v>
      </c>
      <c r="N50" s="116">
        <f t="shared" si="75"/>
        <v>579567.56329947792</v>
      </c>
      <c r="O50" s="116">
        <f t="shared" si="75"/>
        <v>596954.59019846213</v>
      </c>
      <c r="P50" s="116">
        <f t="shared" si="75"/>
        <v>614863.22790441604</v>
      </c>
      <c r="Q50" s="116">
        <f t="shared" si="75"/>
        <v>633309.12474154856</v>
      </c>
      <c r="R50" s="116">
        <f t="shared" si="75"/>
        <v>652308.39848379488</v>
      </c>
      <c r="S50" s="116">
        <f t="shared" si="75"/>
        <v>671877.65043830883</v>
      </c>
      <c r="T50" s="116">
        <f t="shared" si="75"/>
        <v>692033.97995145794</v>
      </c>
      <c r="U50" s="116">
        <f t="shared" si="75"/>
        <v>712794.99935000169</v>
      </c>
      <c r="V50" s="116">
        <f t="shared" si="75"/>
        <v>734178.84933050175</v>
      </c>
      <c r="W50" s="116">
        <f t="shared" si="75"/>
        <v>756204.21481041692</v>
      </c>
      <c r="X50" s="116">
        <f t="shared" si="75"/>
        <v>778890.34125472931</v>
      </c>
      <c r="Y50" s="116">
        <f t="shared" si="75"/>
        <v>802257.05149237113</v>
      </c>
      <c r="Z50" s="116">
        <f t="shared" si="75"/>
        <v>826324.76303714223</v>
      </c>
      <c r="AA50" s="116">
        <f t="shared" si="75"/>
        <v>851114.50592825655</v>
      </c>
      <c r="AB50" s="116">
        <f t="shared" si="75"/>
        <v>876647.94110610429</v>
      </c>
      <c r="AC50" s="116">
        <f t="shared" si="75"/>
        <v>902947.37933928729</v>
      </c>
      <c r="AD50" s="116">
        <f t="shared" si="75"/>
        <v>930035.80071946594</v>
      </c>
      <c r="AE50" s="116">
        <f t="shared" si="75"/>
        <v>957936.87474105007</v>
      </c>
      <c r="AF50" s="116">
        <f t="shared" si="75"/>
        <v>986674.98098328139</v>
      </c>
      <c r="AG50" s="116">
        <f t="shared" si="75"/>
        <v>1016275.2304127798</v>
      </c>
      <c r="AH50" s="116">
        <f t="shared" si="75"/>
        <v>1046763.4873251633</v>
      </c>
      <c r="AI50" s="116">
        <f t="shared" si="75"/>
        <v>1078166.3919449181</v>
      </c>
      <c r="AJ50" s="116">
        <f t="shared" si="75"/>
        <v>1110511.3837032656</v>
      </c>
      <c r="AK50" s="116">
        <f t="shared" si="75"/>
        <v>1143826.7252143635</v>
      </c>
    </row>
    <row r="51" spans="2:37">
      <c r="B51" s="120" t="s">
        <v>414</v>
      </c>
      <c r="C51" s="120"/>
      <c r="D51" s="120"/>
      <c r="E51" s="120"/>
      <c r="F51" s="120"/>
      <c r="G51" s="120"/>
      <c r="H51" s="121">
        <f t="shared" ref="H51:R51" si="76">SUM(H46:H50)</f>
        <v>3123602.5422115801</v>
      </c>
      <c r="I51" s="121">
        <f t="shared" si="76"/>
        <v>3190928.38015529</v>
      </c>
      <c r="J51" s="121">
        <f t="shared" si="76"/>
        <v>3259746.3484708578</v>
      </c>
      <c r="K51" s="121">
        <f t="shared" si="76"/>
        <v>3330090.6581741115</v>
      </c>
      <c r="L51" s="121">
        <f t="shared" si="76"/>
        <v>3401996.3355534459</v>
      </c>
      <c r="M51" s="121">
        <f t="shared" si="76"/>
        <v>3475499.2424068418</v>
      </c>
      <c r="N51" s="121">
        <f t="shared" si="76"/>
        <v>3550636.0968015757</v>
      </c>
      <c r="O51" s="121">
        <f t="shared" si="76"/>
        <v>3627444.4943706011</v>
      </c>
      <c r="P51" s="121">
        <f t="shared" si="76"/>
        <v>3705962.9301599981</v>
      </c>
      <c r="Q51" s="121">
        <f t="shared" si="76"/>
        <v>3786230.8210422425</v>
      </c>
      <c r="R51" s="121">
        <f t="shared" si="76"/>
        <v>3868288.5287105022</v>
      </c>
      <c r="S51" s="121">
        <f t="shared" ref="S51" si="77">SUM(S46:S50)</f>
        <v>3952177.3832695503</v>
      </c>
      <c r="T51" s="121">
        <f t="shared" ref="T51" si="78">SUM(T46:T50)</f>
        <v>4037939.7074393248</v>
      </c>
      <c r="U51" s="121">
        <f t="shared" ref="U51" si="79">SUM(U46:U50)</f>
        <v>4125618.8413876253</v>
      </c>
      <c r="V51" s="121">
        <f t="shared" ref="V51" si="80">SUM(V46:V50)</f>
        <v>4215259.1682088785</v>
      </c>
      <c r="W51" s="121">
        <f t="shared" ref="W51" si="81">SUM(W46:W50)</f>
        <v>4306906.1400663601</v>
      </c>
      <c r="X51" s="121">
        <f t="shared" ref="X51" si="82">SUM(X46:X50)</f>
        <v>4400606.3050157912</v>
      </c>
      <c r="Y51" s="121">
        <f t="shared" ref="Y51" si="83">SUM(Y46:Y50)</f>
        <v>4496407.3345286557</v>
      </c>
      <c r="Z51" s="121">
        <f t="shared" ref="Z51" si="84">SUM(Z46:Z50)</f>
        <v>4594358.0517341513</v>
      </c>
      <c r="AA51" s="121">
        <f t="shared" ref="AA51" si="85">SUM(AA46:AA50)</f>
        <v>4694508.4603992067</v>
      </c>
      <c r="AB51" s="121">
        <f t="shared" ref="AB51" si="86">SUM(AB46:AB50)</f>
        <v>4796909.7746664733</v>
      </c>
      <c r="AC51" s="121">
        <f t="shared" ref="AC51" si="87">SUM(AC46:AC50)</f>
        <v>4901614.4495708635</v>
      </c>
      <c r="AD51" s="121">
        <f t="shared" ref="AD51" si="88">SUM(AD46:AD50)</f>
        <v>5008676.2123556733</v>
      </c>
      <c r="AE51" s="121">
        <f t="shared" ref="AE51" si="89">SUM(AE46:AE50)</f>
        <v>5118150.0946099814</v>
      </c>
      <c r="AF51" s="121">
        <f t="shared" ref="AF51" si="90">SUM(AF46:AF50)</f>
        <v>5230092.4652495915</v>
      </c>
      <c r="AG51" s="121">
        <f t="shared" ref="AG51" si="91">SUM(AG46:AG50)</f>
        <v>5344561.0643644165</v>
      </c>
      <c r="AH51" s="121">
        <f t="shared" ref="AH51" si="92">SUM(AH46:AH50)</f>
        <v>5461615.0379558327</v>
      </c>
      <c r="AI51" s="121">
        <f t="shared" ref="AI51" si="93">SUM(AI46:AI50)</f>
        <v>5581314.9735881994</v>
      </c>
      <c r="AJ51" s="121">
        <f t="shared" ref="AJ51" si="94">SUM(AJ46:AJ50)</f>
        <v>5703722.936979414</v>
      </c>
      <c r="AK51" s="121">
        <f t="shared" ref="AK51" si="95">SUM(AK46:AK50)</f>
        <v>5828902.5095560346</v>
      </c>
    </row>
    <row r="53" spans="2:37">
      <c r="B53" s="111" t="s">
        <v>524</v>
      </c>
      <c r="H53" s="116">
        <f t="shared" ref="H53:R53" si="96">H43-H51</f>
        <v>11437758.756223023</v>
      </c>
      <c r="I53" s="116">
        <f t="shared" si="96"/>
        <v>11807273.757232351</v>
      </c>
      <c r="J53" s="116">
        <f t="shared" si="96"/>
        <v>12188401.85303841</v>
      </c>
      <c r="K53" s="116">
        <f t="shared" si="96"/>
        <v>12581501.989380434</v>
      </c>
      <c r="L53" s="116">
        <f t="shared" si="96"/>
        <v>12986944.091427736</v>
      </c>
      <c r="M53" s="116">
        <f t="shared" si="96"/>
        <v>13405109.397383776</v>
      </c>
      <c r="N53" s="116">
        <f t="shared" si="96"/>
        <v>13836390.80218276</v>
      </c>
      <c r="O53" s="116">
        <f t="shared" si="96"/>
        <v>14281193.211583264</v>
      </c>
      <c r="P53" s="116">
        <f t="shared" si="96"/>
        <v>14739933.906972483</v>
      </c>
      <c r="Q53" s="116">
        <f t="shared" si="96"/>
        <v>15213042.921204213</v>
      </c>
      <c r="R53" s="116">
        <f t="shared" si="96"/>
        <v>15700963.425803345</v>
      </c>
      <c r="S53" s="116">
        <f t="shared" ref="S53:AK53" si="97">S43-S51</f>
        <v>16204152.129879715</v>
      </c>
      <c r="T53" s="116">
        <f t="shared" si="97"/>
        <v>16723079.691104416</v>
      </c>
      <c r="U53" s="116">
        <f t="shared" si="97"/>
        <v>17258231.139112424</v>
      </c>
      <c r="V53" s="116">
        <f t="shared" si="97"/>
        <v>17810106.311706178</v>
      </c>
      <c r="W53" s="116">
        <f t="shared" si="97"/>
        <v>18379220.30424615</v>
      </c>
      <c r="X53" s="116">
        <f t="shared" si="97"/>
        <v>18966103.932626087</v>
      </c>
      <c r="Y53" s="116">
        <f t="shared" si="97"/>
        <v>19571304.21024248</v>
      </c>
      <c r="Z53" s="116">
        <f t="shared" si="97"/>
        <v>20195384.839380115</v>
      </c>
      <c r="AA53" s="116">
        <f t="shared" si="97"/>
        <v>20838926.717448492</v>
      </c>
      <c r="AB53" s="116">
        <f t="shared" si="97"/>
        <v>21502528.458516657</v>
      </c>
      <c r="AC53" s="116">
        <f t="shared" si="97"/>
        <v>22186806.930607755</v>
      </c>
      <c r="AD53" s="116">
        <f t="shared" si="97"/>
        <v>22892397.809228308</v>
      </c>
      <c r="AE53" s="116">
        <f t="shared" si="97"/>
        <v>23619956.14762152</v>
      </c>
      <c r="AF53" s="116">
        <f t="shared" si="97"/>
        <v>24370156.964248851</v>
      </c>
      <c r="AG53" s="116">
        <f t="shared" si="97"/>
        <v>25143695.848018982</v>
      </c>
      <c r="AH53" s="116">
        <f t="shared" si="97"/>
        <v>25941289.581799068</v>
      </c>
      <c r="AI53" s="116">
        <f t="shared" si="97"/>
        <v>26763676.784759346</v>
      </c>
      <c r="AJ53" s="116">
        <f t="shared" si="97"/>
        <v>27611618.574118558</v>
      </c>
      <c r="AK53" s="116">
        <f t="shared" si="97"/>
        <v>28485899.246874876</v>
      </c>
    </row>
    <row r="55" spans="2:37">
      <c r="B55" s="111" t="s">
        <v>582</v>
      </c>
    </row>
    <row r="56" spans="2:37">
      <c r="C56" s="111" t="s">
        <v>583</v>
      </c>
      <c r="H56" s="116">
        <f>-IF($G$25=10,SUM(H88:R88)*G12,SUM(H88:L88)*$G$12)</f>
        <v>-12433262.699365921</v>
      </c>
    </row>
    <row r="57" spans="2:37">
      <c r="C57" s="111" t="s">
        <v>584</v>
      </c>
      <c r="H57" s="116">
        <f>-G20*G12</f>
        <v>-19910522.190000001</v>
      </c>
    </row>
    <row r="59" spans="2:37">
      <c r="B59" s="111" t="s">
        <v>6</v>
      </c>
      <c r="G59" s="116">
        <f t="shared" ref="G59:R59" ca="1" si="98">IF(G35&lt;=$G$25+1,G38+G53+SUM(G56:G57),0)</f>
        <v>-90259055.465268299</v>
      </c>
      <c r="H59" s="116">
        <f t="shared" si="98"/>
        <v>-20906026.1331429</v>
      </c>
      <c r="I59" s="116">
        <f t="shared" si="98"/>
        <v>11807273.757232351</v>
      </c>
      <c r="J59" s="116">
        <f t="shared" si="98"/>
        <v>12188401.85303841</v>
      </c>
      <c r="K59" s="116">
        <f t="shared" si="98"/>
        <v>12581501.989380434</v>
      </c>
      <c r="L59" s="116">
        <f t="shared" si="98"/>
        <v>12986944.091427736</v>
      </c>
      <c r="M59" s="116">
        <f t="shared" si="98"/>
        <v>13405109.397383776</v>
      </c>
      <c r="N59" s="116">
        <f t="shared" si="98"/>
        <v>13836390.80218276</v>
      </c>
      <c r="O59" s="116">
        <f t="shared" si="98"/>
        <v>14281193.211583264</v>
      </c>
      <c r="P59" s="116">
        <f t="shared" si="98"/>
        <v>14739933.906972483</v>
      </c>
      <c r="Q59" s="116">
        <f t="shared" si="98"/>
        <v>15213042.921204213</v>
      </c>
      <c r="R59" s="116">
        <f t="shared" si="98"/>
        <v>15700963.425803345</v>
      </c>
      <c r="S59" s="116">
        <f t="shared" ref="S59:AK59" si="99">IF(S35&lt;=$G$25+1,S38+S53+SUM(S56:S57),0)</f>
        <v>0</v>
      </c>
      <c r="T59" s="116">
        <f t="shared" si="99"/>
        <v>0</v>
      </c>
      <c r="U59" s="116">
        <f t="shared" si="99"/>
        <v>0</v>
      </c>
      <c r="V59" s="116">
        <f t="shared" si="99"/>
        <v>0</v>
      </c>
      <c r="W59" s="116">
        <f t="shared" si="99"/>
        <v>0</v>
      </c>
      <c r="X59" s="116">
        <f t="shared" si="99"/>
        <v>0</v>
      </c>
      <c r="Y59" s="116">
        <f t="shared" si="99"/>
        <v>0</v>
      </c>
      <c r="Z59" s="116">
        <f t="shared" si="99"/>
        <v>0</v>
      </c>
      <c r="AA59" s="116">
        <f t="shared" si="99"/>
        <v>0</v>
      </c>
      <c r="AB59" s="116">
        <f t="shared" si="99"/>
        <v>0</v>
      </c>
      <c r="AC59" s="116">
        <f t="shared" si="99"/>
        <v>0</v>
      </c>
      <c r="AD59" s="116">
        <f t="shared" si="99"/>
        <v>0</v>
      </c>
      <c r="AE59" s="116">
        <f t="shared" si="99"/>
        <v>0</v>
      </c>
      <c r="AF59" s="116">
        <f t="shared" si="99"/>
        <v>0</v>
      </c>
      <c r="AG59" s="116">
        <f t="shared" si="99"/>
        <v>0</v>
      </c>
      <c r="AH59" s="116">
        <f t="shared" si="99"/>
        <v>0</v>
      </c>
      <c r="AI59" s="116">
        <f t="shared" si="99"/>
        <v>0</v>
      </c>
      <c r="AJ59" s="116">
        <f t="shared" si="99"/>
        <v>0</v>
      </c>
      <c r="AK59" s="116">
        <f t="shared" si="99"/>
        <v>0</v>
      </c>
    </row>
    <row r="60" spans="2:37"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</row>
    <row r="61" spans="2:37">
      <c r="B61" s="111" t="s">
        <v>525</v>
      </c>
      <c r="H61" s="116">
        <f t="shared" ref="H61:R61" si="100">IF(H35=$G$25,I59/$G$23,0)</f>
        <v>0</v>
      </c>
      <c r="I61" s="116">
        <f t="shared" si="100"/>
        <v>0</v>
      </c>
      <c r="J61" s="116">
        <f t="shared" si="100"/>
        <v>0</v>
      </c>
      <c r="K61" s="116">
        <f t="shared" si="100"/>
        <v>0</v>
      </c>
      <c r="L61" s="116">
        <f t="shared" si="100"/>
        <v>0</v>
      </c>
      <c r="M61" s="116">
        <f t="shared" si="100"/>
        <v>0</v>
      </c>
      <c r="N61" s="116">
        <f t="shared" si="100"/>
        <v>0</v>
      </c>
      <c r="O61" s="116">
        <f t="shared" si="100"/>
        <v>0</v>
      </c>
      <c r="P61" s="116">
        <f t="shared" si="100"/>
        <v>0</v>
      </c>
      <c r="Q61" s="116">
        <f t="shared" si="100"/>
        <v>285472062.28733355</v>
      </c>
      <c r="R61" s="116">
        <f t="shared" si="100"/>
        <v>0</v>
      </c>
      <c r="S61" s="116">
        <f t="shared" ref="S61:AJ61" si="101">IF(S35=$G$25,T59/$G$23,0)</f>
        <v>0</v>
      </c>
      <c r="T61" s="116">
        <f t="shared" si="101"/>
        <v>0</v>
      </c>
      <c r="U61" s="116">
        <f t="shared" si="101"/>
        <v>0</v>
      </c>
      <c r="V61" s="116">
        <f t="shared" si="101"/>
        <v>0</v>
      </c>
      <c r="W61" s="116">
        <f t="shared" si="101"/>
        <v>0</v>
      </c>
      <c r="X61" s="116">
        <f t="shared" si="101"/>
        <v>0</v>
      </c>
      <c r="Y61" s="116">
        <f t="shared" si="101"/>
        <v>0</v>
      </c>
      <c r="Z61" s="116">
        <f t="shared" si="101"/>
        <v>0</v>
      </c>
      <c r="AA61" s="116">
        <f t="shared" si="101"/>
        <v>0</v>
      </c>
      <c r="AB61" s="116">
        <f t="shared" si="101"/>
        <v>0</v>
      </c>
      <c r="AC61" s="116">
        <f t="shared" si="101"/>
        <v>0</v>
      </c>
      <c r="AD61" s="116">
        <f t="shared" si="101"/>
        <v>0</v>
      </c>
      <c r="AE61" s="116">
        <f t="shared" si="101"/>
        <v>0</v>
      </c>
      <c r="AF61" s="116">
        <f t="shared" si="101"/>
        <v>0</v>
      </c>
      <c r="AG61" s="116">
        <f t="shared" si="101"/>
        <v>0</v>
      </c>
      <c r="AH61" s="116">
        <f t="shared" si="101"/>
        <v>0</v>
      </c>
      <c r="AI61" s="116">
        <f t="shared" si="101"/>
        <v>0</v>
      </c>
      <c r="AJ61" s="116">
        <f t="shared" si="101"/>
        <v>0</v>
      </c>
      <c r="AK61" s="116">
        <f>IF(AK35=$G$25,#REF!/$G$23,0)</f>
        <v>0</v>
      </c>
    </row>
    <row r="62" spans="2:37">
      <c r="B62" s="111" t="s">
        <v>393</v>
      </c>
      <c r="H62" s="116">
        <f>-H61*$G$26</f>
        <v>0</v>
      </c>
      <c r="I62" s="116">
        <f t="shared" ref="I62:R62" si="102">-I61*$G$26</f>
        <v>0</v>
      </c>
      <c r="J62" s="116">
        <f t="shared" si="102"/>
        <v>0</v>
      </c>
      <c r="K62" s="116">
        <f t="shared" si="102"/>
        <v>0</v>
      </c>
      <c r="L62" s="116">
        <f t="shared" si="102"/>
        <v>0</v>
      </c>
      <c r="M62" s="116">
        <f t="shared" si="102"/>
        <v>0</v>
      </c>
      <c r="N62" s="116">
        <f t="shared" si="102"/>
        <v>0</v>
      </c>
      <c r="O62" s="116">
        <f t="shared" si="102"/>
        <v>0</v>
      </c>
      <c r="P62" s="116">
        <f t="shared" si="102"/>
        <v>0</v>
      </c>
      <c r="Q62" s="116">
        <f t="shared" si="102"/>
        <v>0</v>
      </c>
      <c r="R62" s="116">
        <f t="shared" si="102"/>
        <v>0</v>
      </c>
      <c r="S62" s="116">
        <f t="shared" ref="S62:AK62" si="103">-S61*$G$26</f>
        <v>0</v>
      </c>
      <c r="T62" s="116">
        <f t="shared" si="103"/>
        <v>0</v>
      </c>
      <c r="U62" s="116">
        <f t="shared" si="103"/>
        <v>0</v>
      </c>
      <c r="V62" s="116">
        <f t="shared" si="103"/>
        <v>0</v>
      </c>
      <c r="W62" s="116">
        <f t="shared" si="103"/>
        <v>0</v>
      </c>
      <c r="X62" s="116">
        <f t="shared" si="103"/>
        <v>0</v>
      </c>
      <c r="Y62" s="116">
        <f t="shared" si="103"/>
        <v>0</v>
      </c>
      <c r="Z62" s="116">
        <f t="shared" si="103"/>
        <v>0</v>
      </c>
      <c r="AA62" s="116">
        <f t="shared" si="103"/>
        <v>0</v>
      </c>
      <c r="AB62" s="116">
        <f t="shared" si="103"/>
        <v>0</v>
      </c>
      <c r="AC62" s="116">
        <f t="shared" si="103"/>
        <v>0</v>
      </c>
      <c r="AD62" s="116">
        <f t="shared" si="103"/>
        <v>0</v>
      </c>
      <c r="AE62" s="116">
        <f t="shared" si="103"/>
        <v>0</v>
      </c>
      <c r="AF62" s="116">
        <f t="shared" si="103"/>
        <v>0</v>
      </c>
      <c r="AG62" s="116">
        <f t="shared" si="103"/>
        <v>0</v>
      </c>
      <c r="AH62" s="116">
        <f t="shared" si="103"/>
        <v>0</v>
      </c>
      <c r="AI62" s="116">
        <f t="shared" si="103"/>
        <v>0</v>
      </c>
      <c r="AJ62" s="116">
        <f t="shared" si="103"/>
        <v>0</v>
      </c>
      <c r="AK62" s="116">
        <f t="shared" si="103"/>
        <v>0</v>
      </c>
    </row>
    <row r="63" spans="2:37">
      <c r="B63" s="120" t="s">
        <v>526</v>
      </c>
      <c r="C63" s="120"/>
      <c r="D63" s="120"/>
      <c r="E63" s="120"/>
      <c r="F63" s="120"/>
      <c r="G63" s="121">
        <f ca="1">SUM(G59:G62)</f>
        <v>-90259055.465268299</v>
      </c>
      <c r="H63" s="121">
        <f t="shared" ref="H63:R63" si="104">SUM(H59:H62)</f>
        <v>-20906026.1331429</v>
      </c>
      <c r="I63" s="121">
        <f t="shared" si="104"/>
        <v>11807273.757232351</v>
      </c>
      <c r="J63" s="121">
        <f t="shared" si="104"/>
        <v>12188401.85303841</v>
      </c>
      <c r="K63" s="121">
        <f t="shared" si="104"/>
        <v>12581501.989380434</v>
      </c>
      <c r="L63" s="121">
        <f t="shared" si="104"/>
        <v>12986944.091427736</v>
      </c>
      <c r="M63" s="121">
        <f t="shared" si="104"/>
        <v>13405109.397383776</v>
      </c>
      <c r="N63" s="121">
        <f t="shared" si="104"/>
        <v>13836390.80218276</v>
      </c>
      <c r="O63" s="121">
        <f t="shared" si="104"/>
        <v>14281193.211583264</v>
      </c>
      <c r="P63" s="121">
        <f t="shared" si="104"/>
        <v>14739933.906972483</v>
      </c>
      <c r="Q63" s="121">
        <f t="shared" si="104"/>
        <v>300685105.20853776</v>
      </c>
      <c r="R63" s="121">
        <f t="shared" si="104"/>
        <v>15700963.425803345</v>
      </c>
      <c r="S63" s="121">
        <f t="shared" ref="S63:AK63" si="105">SUM(S59:S62)</f>
        <v>0</v>
      </c>
      <c r="T63" s="121">
        <f t="shared" si="105"/>
        <v>0</v>
      </c>
      <c r="U63" s="121">
        <f t="shared" si="105"/>
        <v>0</v>
      </c>
      <c r="V63" s="121">
        <f t="shared" si="105"/>
        <v>0</v>
      </c>
      <c r="W63" s="121">
        <f t="shared" si="105"/>
        <v>0</v>
      </c>
      <c r="X63" s="121">
        <f t="shared" si="105"/>
        <v>0</v>
      </c>
      <c r="Y63" s="121">
        <f t="shared" si="105"/>
        <v>0</v>
      </c>
      <c r="Z63" s="121">
        <f t="shared" si="105"/>
        <v>0</v>
      </c>
      <c r="AA63" s="121">
        <f t="shared" si="105"/>
        <v>0</v>
      </c>
      <c r="AB63" s="121">
        <f t="shared" si="105"/>
        <v>0</v>
      </c>
      <c r="AC63" s="121">
        <f t="shared" si="105"/>
        <v>0</v>
      </c>
      <c r="AD63" s="121">
        <f t="shared" si="105"/>
        <v>0</v>
      </c>
      <c r="AE63" s="121">
        <f t="shared" si="105"/>
        <v>0</v>
      </c>
      <c r="AF63" s="121">
        <f t="shared" si="105"/>
        <v>0</v>
      </c>
      <c r="AG63" s="121">
        <f t="shared" si="105"/>
        <v>0</v>
      </c>
      <c r="AH63" s="121">
        <f t="shared" si="105"/>
        <v>0</v>
      </c>
      <c r="AI63" s="121">
        <f t="shared" si="105"/>
        <v>0</v>
      </c>
      <c r="AJ63" s="121">
        <f t="shared" si="105"/>
        <v>0</v>
      </c>
      <c r="AK63" s="121">
        <f t="shared" si="105"/>
        <v>0</v>
      </c>
    </row>
    <row r="64" spans="2:37" ht="15" thickBot="1"/>
    <row r="65" spans="2:37">
      <c r="B65" s="132" t="s">
        <v>527</v>
      </c>
      <c r="C65" s="133"/>
      <c r="D65" s="133"/>
      <c r="E65" s="133"/>
      <c r="F65" s="133"/>
      <c r="G65" s="134">
        <f ca="1">SUM(G63:R63)</f>
        <v>311047736.04513115</v>
      </c>
    </row>
    <row r="66" spans="2:37">
      <c r="B66" s="135" t="s">
        <v>528</v>
      </c>
      <c r="G66" s="136">
        <f>NPV($R$21,H63:R63)</f>
        <v>196146896.14019012</v>
      </c>
    </row>
    <row r="67" spans="2:37">
      <c r="B67" s="135" t="s">
        <v>529</v>
      </c>
      <c r="G67" s="136">
        <f ca="1">G66+G63</f>
        <v>105887840.67492183</v>
      </c>
    </row>
    <row r="68" spans="2:37">
      <c r="B68" s="135" t="s">
        <v>530</v>
      </c>
      <c r="G68" s="137">
        <f ca="1">IRR(G63:R63)</f>
        <v>0.17495898343392113</v>
      </c>
    </row>
    <row r="69" spans="2:37" ht="15" thickBot="1">
      <c r="B69" s="138" t="s">
        <v>531</v>
      </c>
      <c r="C69" s="139"/>
      <c r="D69" s="139"/>
      <c r="E69" s="139"/>
      <c r="F69" s="139"/>
      <c r="G69" s="140">
        <f ca="1">(G65/-G63)+1</f>
        <v>4.4461665307900589</v>
      </c>
    </row>
    <row r="71" spans="2:37">
      <c r="B71" s="111" t="s">
        <v>532</v>
      </c>
      <c r="G71" s="116">
        <f ca="1">G32</f>
        <v>63181338.825687803</v>
      </c>
    </row>
    <row r="72" spans="2:37">
      <c r="B72" s="111" t="s">
        <v>533</v>
      </c>
      <c r="H72" s="116">
        <f t="shared" ref="H72:R72" si="106">IF(H35=$G$25,FV($G$30/12,H35*12,$G$33,$G$32),0)</f>
        <v>0</v>
      </c>
      <c r="I72" s="116">
        <f t="shared" si="106"/>
        <v>0</v>
      </c>
      <c r="J72" s="116">
        <f t="shared" si="106"/>
        <v>0</v>
      </c>
      <c r="K72" s="116">
        <f t="shared" si="106"/>
        <v>0</v>
      </c>
      <c r="L72" s="116">
        <f t="shared" si="106"/>
        <v>0</v>
      </c>
      <c r="M72" s="116">
        <f t="shared" si="106"/>
        <v>0</v>
      </c>
      <c r="N72" s="116">
        <f t="shared" si="106"/>
        <v>0</v>
      </c>
      <c r="O72" s="116">
        <f t="shared" si="106"/>
        <v>0</v>
      </c>
      <c r="P72" s="116">
        <f t="shared" si="106"/>
        <v>0</v>
      </c>
      <c r="Q72" s="116">
        <f t="shared" ca="1" si="106"/>
        <v>-51393005.374487519</v>
      </c>
      <c r="R72" s="116">
        <f t="shared" si="106"/>
        <v>0</v>
      </c>
      <c r="S72" s="116">
        <f t="shared" ref="S72:AK72" si="107">IF(S35=$G$25,FV($G$30/12,S35*12,$G$33,$G$32),0)</f>
        <v>0</v>
      </c>
      <c r="T72" s="116">
        <f t="shared" si="107"/>
        <v>0</v>
      </c>
      <c r="U72" s="116">
        <f t="shared" si="107"/>
        <v>0</v>
      </c>
      <c r="V72" s="116">
        <f t="shared" si="107"/>
        <v>0</v>
      </c>
      <c r="W72" s="116">
        <f t="shared" si="107"/>
        <v>0</v>
      </c>
      <c r="X72" s="116">
        <f t="shared" si="107"/>
        <v>0</v>
      </c>
      <c r="Y72" s="116">
        <f t="shared" si="107"/>
        <v>0</v>
      </c>
      <c r="Z72" s="116">
        <f t="shared" si="107"/>
        <v>0</v>
      </c>
      <c r="AA72" s="116">
        <f t="shared" si="107"/>
        <v>0</v>
      </c>
      <c r="AB72" s="116">
        <f t="shared" si="107"/>
        <v>0</v>
      </c>
      <c r="AC72" s="116">
        <f t="shared" si="107"/>
        <v>0</v>
      </c>
      <c r="AD72" s="116">
        <f t="shared" si="107"/>
        <v>0</v>
      </c>
      <c r="AE72" s="116">
        <f t="shared" si="107"/>
        <v>0</v>
      </c>
      <c r="AF72" s="116">
        <f t="shared" si="107"/>
        <v>0</v>
      </c>
      <c r="AG72" s="116">
        <f t="shared" si="107"/>
        <v>0</v>
      </c>
      <c r="AH72" s="116">
        <f t="shared" si="107"/>
        <v>0</v>
      </c>
      <c r="AI72" s="116">
        <f t="shared" si="107"/>
        <v>0</v>
      </c>
      <c r="AJ72" s="116">
        <f t="shared" si="107"/>
        <v>0</v>
      </c>
      <c r="AK72" s="116">
        <f t="shared" si="107"/>
        <v>0</v>
      </c>
    </row>
    <row r="73" spans="2:37">
      <c r="B73" s="111" t="s">
        <v>534</v>
      </c>
      <c r="H73" s="116">
        <f ca="1">IF(H35&lt;=$G$25,$G$33*12,0)</f>
        <v>-4070053.0622982723</v>
      </c>
      <c r="I73" s="116">
        <f t="shared" ref="I73:R73" ca="1" si="108">IF(I35&lt;=$G$25,$G$33*12,0)</f>
        <v>-4070053.0622982723</v>
      </c>
      <c r="J73" s="116">
        <f t="shared" ca="1" si="108"/>
        <v>-4070053.0622982723</v>
      </c>
      <c r="K73" s="116">
        <f t="shared" ca="1" si="108"/>
        <v>-4070053.0622982723</v>
      </c>
      <c r="L73" s="116">
        <f t="shared" ca="1" si="108"/>
        <v>-4070053.0622982723</v>
      </c>
      <c r="M73" s="116">
        <f t="shared" ca="1" si="108"/>
        <v>-4070053.0622982723</v>
      </c>
      <c r="N73" s="116">
        <f t="shared" ca="1" si="108"/>
        <v>-4070053.0622982723</v>
      </c>
      <c r="O73" s="116">
        <f t="shared" ca="1" si="108"/>
        <v>-4070053.0622982723</v>
      </c>
      <c r="P73" s="116">
        <f t="shared" ca="1" si="108"/>
        <v>-4070053.0622982723</v>
      </c>
      <c r="Q73" s="116">
        <f t="shared" ca="1" si="108"/>
        <v>-4070053.0622982723</v>
      </c>
      <c r="R73" s="116">
        <f t="shared" si="108"/>
        <v>0</v>
      </c>
      <c r="S73" s="116">
        <f t="shared" ref="S73:AK73" si="109">IF(S35&lt;=$G$25,$G$33*12,0)</f>
        <v>0</v>
      </c>
      <c r="T73" s="116">
        <f t="shared" si="109"/>
        <v>0</v>
      </c>
      <c r="U73" s="116">
        <f t="shared" si="109"/>
        <v>0</v>
      </c>
      <c r="V73" s="116">
        <f t="shared" si="109"/>
        <v>0</v>
      </c>
      <c r="W73" s="116">
        <f t="shared" si="109"/>
        <v>0</v>
      </c>
      <c r="X73" s="116">
        <f t="shared" si="109"/>
        <v>0</v>
      </c>
      <c r="Y73" s="116">
        <f t="shared" si="109"/>
        <v>0</v>
      </c>
      <c r="Z73" s="116">
        <f t="shared" si="109"/>
        <v>0</v>
      </c>
      <c r="AA73" s="116">
        <f t="shared" si="109"/>
        <v>0</v>
      </c>
      <c r="AB73" s="116">
        <f t="shared" si="109"/>
        <v>0</v>
      </c>
      <c r="AC73" s="116">
        <f t="shared" si="109"/>
        <v>0</v>
      </c>
      <c r="AD73" s="116">
        <f t="shared" si="109"/>
        <v>0</v>
      </c>
      <c r="AE73" s="116">
        <f t="shared" si="109"/>
        <v>0</v>
      </c>
      <c r="AF73" s="116">
        <f t="shared" si="109"/>
        <v>0</v>
      </c>
      <c r="AG73" s="116">
        <f t="shared" si="109"/>
        <v>0</v>
      </c>
      <c r="AH73" s="116">
        <f t="shared" si="109"/>
        <v>0</v>
      </c>
      <c r="AI73" s="116">
        <f t="shared" si="109"/>
        <v>0</v>
      </c>
      <c r="AJ73" s="116">
        <f t="shared" si="109"/>
        <v>0</v>
      </c>
      <c r="AK73" s="116">
        <f t="shared" si="109"/>
        <v>0</v>
      </c>
    </row>
    <row r="75" spans="2:37">
      <c r="B75" s="111" t="s">
        <v>535</v>
      </c>
      <c r="G75" s="116">
        <f t="shared" ref="G75:R75" ca="1" si="110">IF(G35&lt;=$G$25,SUM(G63,G71:G73),0)</f>
        <v>-27077716.639580496</v>
      </c>
      <c r="H75" s="116">
        <f t="shared" ca="1" si="110"/>
        <v>-24976079.195441172</v>
      </c>
      <c r="I75" s="116">
        <f t="shared" ca="1" si="110"/>
        <v>7737220.6949340794</v>
      </c>
      <c r="J75" s="116">
        <f t="shared" ca="1" si="110"/>
        <v>8118348.7907401379</v>
      </c>
      <c r="K75" s="116">
        <f t="shared" ca="1" si="110"/>
        <v>8511448.9270821624</v>
      </c>
      <c r="L75" s="116">
        <f t="shared" ca="1" si="110"/>
        <v>8916891.0291294642</v>
      </c>
      <c r="M75" s="116">
        <f t="shared" ca="1" si="110"/>
        <v>9335056.3350855038</v>
      </c>
      <c r="N75" s="116">
        <f t="shared" ca="1" si="110"/>
        <v>9766337.7398844883</v>
      </c>
      <c r="O75" s="116">
        <f t="shared" ca="1" si="110"/>
        <v>10211140.149284992</v>
      </c>
      <c r="P75" s="116">
        <f t="shared" ca="1" si="110"/>
        <v>10669880.844674211</v>
      </c>
      <c r="Q75" s="116">
        <f t="shared" ca="1" si="110"/>
        <v>245222046.77175197</v>
      </c>
      <c r="R75" s="116">
        <f t="shared" si="110"/>
        <v>0</v>
      </c>
      <c r="S75" s="116">
        <f t="shared" ref="S75:AK75" si="111">IF(S35&lt;=$G$25,SUM(S63,S71:S73),0)</f>
        <v>0</v>
      </c>
      <c r="T75" s="116">
        <f t="shared" si="111"/>
        <v>0</v>
      </c>
      <c r="U75" s="116">
        <f t="shared" si="111"/>
        <v>0</v>
      </c>
      <c r="V75" s="116">
        <f t="shared" si="111"/>
        <v>0</v>
      </c>
      <c r="W75" s="116">
        <f t="shared" si="111"/>
        <v>0</v>
      </c>
      <c r="X75" s="116">
        <f t="shared" si="111"/>
        <v>0</v>
      </c>
      <c r="Y75" s="116">
        <f t="shared" si="111"/>
        <v>0</v>
      </c>
      <c r="Z75" s="116">
        <f t="shared" si="111"/>
        <v>0</v>
      </c>
      <c r="AA75" s="116">
        <f t="shared" si="111"/>
        <v>0</v>
      </c>
      <c r="AB75" s="116">
        <f t="shared" si="111"/>
        <v>0</v>
      </c>
      <c r="AC75" s="116">
        <f t="shared" si="111"/>
        <v>0</v>
      </c>
      <c r="AD75" s="116">
        <f t="shared" si="111"/>
        <v>0</v>
      </c>
      <c r="AE75" s="116">
        <f t="shared" si="111"/>
        <v>0</v>
      </c>
      <c r="AF75" s="116">
        <f t="shared" si="111"/>
        <v>0</v>
      </c>
      <c r="AG75" s="116">
        <f t="shared" si="111"/>
        <v>0</v>
      </c>
      <c r="AH75" s="116">
        <f t="shared" si="111"/>
        <v>0</v>
      </c>
      <c r="AI75" s="116">
        <f t="shared" si="111"/>
        <v>0</v>
      </c>
      <c r="AJ75" s="116">
        <f t="shared" si="111"/>
        <v>0</v>
      </c>
      <c r="AK75" s="116">
        <f t="shared" si="111"/>
        <v>0</v>
      </c>
    </row>
    <row r="76" spans="2:37" ht="15" thickBot="1"/>
    <row r="77" spans="2:37">
      <c r="B77" s="132" t="s">
        <v>527</v>
      </c>
      <c r="C77" s="133"/>
      <c r="D77" s="133"/>
      <c r="E77" s="133"/>
      <c r="F77" s="133"/>
      <c r="G77" s="134">
        <f ca="1">SUM(G75:R75)</f>
        <v>266434575.44754535</v>
      </c>
    </row>
    <row r="78" spans="2:37">
      <c r="B78" s="135" t="s">
        <v>528</v>
      </c>
      <c r="G78" s="136">
        <f ca="1">NPV($R$21,H75:R75)</f>
        <v>138297729.28317928</v>
      </c>
    </row>
    <row r="79" spans="2:37">
      <c r="B79" s="135" t="s">
        <v>529</v>
      </c>
      <c r="G79" s="136">
        <f ca="1">G78+G75</f>
        <v>111220012.64359879</v>
      </c>
    </row>
    <row r="80" spans="2:37">
      <c r="B80" s="135" t="s">
        <v>536</v>
      </c>
      <c r="G80" s="141">
        <f ca="1">IRR(G75:R75)</f>
        <v>0.25899958746038831</v>
      </c>
    </row>
    <row r="81" spans="1:37" ht="15" thickBot="1">
      <c r="B81" s="138" t="s">
        <v>531</v>
      </c>
      <c r="C81" s="139"/>
      <c r="D81" s="139"/>
      <c r="E81" s="139"/>
      <c r="F81" s="139"/>
      <c r="G81" s="140">
        <f ca="1">(G77/-G75)+1</f>
        <v>10.839624920887463</v>
      </c>
    </row>
    <row r="83" spans="1:37" s="113" customFormat="1">
      <c r="A83" s="142" t="s">
        <v>472</v>
      </c>
      <c r="B83" s="113" t="s">
        <v>585</v>
      </c>
      <c r="H83" s="129">
        <f t="shared" ref="H83:R83" si="112">H35</f>
        <v>1</v>
      </c>
      <c r="I83" s="129">
        <f t="shared" si="112"/>
        <v>2</v>
      </c>
      <c r="J83" s="129">
        <f t="shared" si="112"/>
        <v>3</v>
      </c>
      <c r="K83" s="129">
        <f t="shared" si="112"/>
        <v>4</v>
      </c>
      <c r="L83" s="129">
        <f t="shared" si="112"/>
        <v>5</v>
      </c>
      <c r="M83" s="129">
        <f t="shared" si="112"/>
        <v>6</v>
      </c>
      <c r="N83" s="129">
        <f t="shared" si="112"/>
        <v>7</v>
      </c>
      <c r="O83" s="129">
        <f t="shared" si="112"/>
        <v>8</v>
      </c>
      <c r="P83" s="129">
        <f t="shared" si="112"/>
        <v>9</v>
      </c>
      <c r="Q83" s="129">
        <f t="shared" si="112"/>
        <v>10</v>
      </c>
      <c r="R83" s="129">
        <f t="shared" si="112"/>
        <v>11</v>
      </c>
      <c r="S83" s="129">
        <f t="shared" ref="S83:AK83" si="113">S35</f>
        <v>12</v>
      </c>
      <c r="T83" s="129">
        <f t="shared" si="113"/>
        <v>13</v>
      </c>
      <c r="U83" s="129">
        <f t="shared" si="113"/>
        <v>14</v>
      </c>
      <c r="V83" s="129">
        <f t="shared" si="113"/>
        <v>15</v>
      </c>
      <c r="W83" s="129">
        <f t="shared" si="113"/>
        <v>16</v>
      </c>
      <c r="X83" s="129">
        <f t="shared" si="113"/>
        <v>17</v>
      </c>
      <c r="Y83" s="129">
        <f t="shared" si="113"/>
        <v>18</v>
      </c>
      <c r="Z83" s="129">
        <f t="shared" si="113"/>
        <v>19</v>
      </c>
      <c r="AA83" s="129">
        <f t="shared" si="113"/>
        <v>20</v>
      </c>
      <c r="AB83" s="129">
        <f t="shared" si="113"/>
        <v>21</v>
      </c>
      <c r="AC83" s="129">
        <f t="shared" si="113"/>
        <v>22</v>
      </c>
      <c r="AD83" s="129">
        <f t="shared" si="113"/>
        <v>23</v>
      </c>
      <c r="AE83" s="129">
        <f t="shared" si="113"/>
        <v>24</v>
      </c>
      <c r="AF83" s="129">
        <f t="shared" si="113"/>
        <v>25</v>
      </c>
      <c r="AG83" s="129">
        <f t="shared" si="113"/>
        <v>26</v>
      </c>
      <c r="AH83" s="129">
        <f t="shared" si="113"/>
        <v>27</v>
      </c>
      <c r="AI83" s="129">
        <f t="shared" si="113"/>
        <v>28</v>
      </c>
      <c r="AJ83" s="129">
        <f t="shared" si="113"/>
        <v>29</v>
      </c>
      <c r="AK83" s="129">
        <f t="shared" si="113"/>
        <v>30</v>
      </c>
    </row>
    <row r="84" spans="1:37">
      <c r="B84" s="111" t="s">
        <v>586</v>
      </c>
      <c r="H84" s="117">
        <f t="shared" ref="H84:R84" si="114">H40/$G$12</f>
        <v>40.630000000000003</v>
      </c>
      <c r="I84" s="117">
        <f t="shared" si="114"/>
        <v>41.848900000000008</v>
      </c>
      <c r="J84" s="117">
        <f t="shared" si="114"/>
        <v>43.104366999999996</v>
      </c>
      <c r="K84" s="117">
        <f t="shared" si="114"/>
        <v>44.39749801</v>
      </c>
      <c r="L84" s="117">
        <f t="shared" si="114"/>
        <v>45.729422950299998</v>
      </c>
      <c r="M84" s="117">
        <f t="shared" si="114"/>
        <v>47.101305638808995</v>
      </c>
      <c r="N84" s="117">
        <f t="shared" si="114"/>
        <v>48.514344807973274</v>
      </c>
      <c r="O84" s="117">
        <f t="shared" si="114"/>
        <v>49.96977515221247</v>
      </c>
      <c r="P84" s="117">
        <f t="shared" si="114"/>
        <v>51.468868406778839</v>
      </c>
      <c r="Q84" s="117">
        <f t="shared" si="114"/>
        <v>53.012934458982208</v>
      </c>
      <c r="R84" s="117">
        <f t="shared" si="114"/>
        <v>54.603322492751666</v>
      </c>
      <c r="S84" s="117">
        <f t="shared" ref="S84:AK84" si="115">S40/$G$12</f>
        <v>56.241422167534225</v>
      </c>
      <c r="T84" s="117">
        <f t="shared" si="115"/>
        <v>57.928664832560244</v>
      </c>
      <c r="U84" s="117">
        <f t="shared" si="115"/>
        <v>59.666524777537042</v>
      </c>
      <c r="V84" s="117">
        <f t="shared" si="115"/>
        <v>61.456520520863158</v>
      </c>
      <c r="W84" s="117">
        <f t="shared" si="115"/>
        <v>63.300216136489063</v>
      </c>
      <c r="X84" s="117">
        <f t="shared" si="115"/>
        <v>65.199222620583726</v>
      </c>
      <c r="Y84" s="117">
        <f t="shared" si="115"/>
        <v>67.155199299201229</v>
      </c>
      <c r="Z84" s="117">
        <f t="shared" si="115"/>
        <v>69.169855278177266</v>
      </c>
      <c r="AA84" s="117">
        <f t="shared" si="115"/>
        <v>71.244950936522585</v>
      </c>
      <c r="AB84" s="117">
        <f t="shared" si="115"/>
        <v>73.382299464618271</v>
      </c>
      <c r="AC84" s="117">
        <f t="shared" si="115"/>
        <v>75.58376844855681</v>
      </c>
      <c r="AD84" s="117">
        <f t="shared" si="115"/>
        <v>77.851281502013521</v>
      </c>
      <c r="AE84" s="117">
        <f t="shared" si="115"/>
        <v>80.186819947073928</v>
      </c>
      <c r="AF84" s="117">
        <f t="shared" si="115"/>
        <v>82.592424545486125</v>
      </c>
      <c r="AG84" s="117">
        <f t="shared" si="115"/>
        <v>85.070197281850724</v>
      </c>
      <c r="AH84" s="117">
        <f t="shared" si="115"/>
        <v>87.622303200306249</v>
      </c>
      <c r="AI84" s="117">
        <f t="shared" si="115"/>
        <v>90.250972296315425</v>
      </c>
      <c r="AJ84" s="117">
        <f t="shared" si="115"/>
        <v>92.95850146520489</v>
      </c>
      <c r="AK84" s="117">
        <f t="shared" si="115"/>
        <v>95.747256509161019</v>
      </c>
    </row>
    <row r="85" spans="1:37">
      <c r="B85" s="111" t="s">
        <v>573</v>
      </c>
      <c r="H85" s="117">
        <f t="shared" ref="H85:R85" si="116">H42/$G$12</f>
        <v>0</v>
      </c>
      <c r="I85" s="117">
        <f t="shared" si="116"/>
        <v>0</v>
      </c>
      <c r="J85" s="117">
        <f t="shared" si="116"/>
        <v>0</v>
      </c>
      <c r="K85" s="117">
        <f t="shared" si="116"/>
        <v>0</v>
      </c>
      <c r="L85" s="117">
        <f t="shared" si="116"/>
        <v>0</v>
      </c>
      <c r="M85" s="117">
        <f t="shared" si="116"/>
        <v>0</v>
      </c>
      <c r="N85" s="117">
        <f t="shared" si="116"/>
        <v>0</v>
      </c>
      <c r="O85" s="117">
        <f t="shared" si="116"/>
        <v>0</v>
      </c>
      <c r="P85" s="117">
        <f t="shared" si="116"/>
        <v>0</v>
      </c>
      <c r="Q85" s="117">
        <f t="shared" si="116"/>
        <v>0</v>
      </c>
      <c r="R85" s="117">
        <f t="shared" si="116"/>
        <v>0</v>
      </c>
      <c r="S85" s="117">
        <f t="shared" ref="S85:AK85" si="117">S42/$G$12</f>
        <v>0</v>
      </c>
      <c r="T85" s="117">
        <f t="shared" si="117"/>
        <v>0</v>
      </c>
      <c r="U85" s="117">
        <f t="shared" si="117"/>
        <v>0</v>
      </c>
      <c r="V85" s="117">
        <f t="shared" si="117"/>
        <v>0</v>
      </c>
      <c r="W85" s="117">
        <f t="shared" si="117"/>
        <v>0</v>
      </c>
      <c r="X85" s="117">
        <f t="shared" si="117"/>
        <v>0</v>
      </c>
      <c r="Y85" s="117">
        <f t="shared" si="117"/>
        <v>0</v>
      </c>
      <c r="Z85" s="117">
        <f t="shared" si="117"/>
        <v>0</v>
      </c>
      <c r="AA85" s="117">
        <f t="shared" si="117"/>
        <v>0</v>
      </c>
      <c r="AB85" s="117">
        <f t="shared" si="117"/>
        <v>0</v>
      </c>
      <c r="AC85" s="117">
        <f t="shared" si="117"/>
        <v>0</v>
      </c>
      <c r="AD85" s="117">
        <f t="shared" si="117"/>
        <v>0</v>
      </c>
      <c r="AE85" s="117">
        <f t="shared" si="117"/>
        <v>0</v>
      </c>
      <c r="AF85" s="117">
        <f t="shared" si="117"/>
        <v>0</v>
      </c>
      <c r="AG85" s="117">
        <f t="shared" si="117"/>
        <v>0</v>
      </c>
      <c r="AH85" s="117">
        <f t="shared" si="117"/>
        <v>0</v>
      </c>
      <c r="AI85" s="117">
        <f t="shared" si="117"/>
        <v>0</v>
      </c>
      <c r="AJ85" s="117">
        <f t="shared" si="117"/>
        <v>0</v>
      </c>
      <c r="AK85" s="117">
        <f t="shared" si="117"/>
        <v>0</v>
      </c>
    </row>
    <row r="86" spans="1:37">
      <c r="B86" s="111" t="s">
        <v>16</v>
      </c>
      <c r="H86" s="117">
        <f>H84-H85</f>
        <v>40.630000000000003</v>
      </c>
      <c r="I86" s="117">
        <f t="shared" ref="I86:R86" si="118">I84-I85</f>
        <v>41.848900000000008</v>
      </c>
      <c r="J86" s="117">
        <f t="shared" si="118"/>
        <v>43.104366999999996</v>
      </c>
      <c r="K86" s="117">
        <f t="shared" si="118"/>
        <v>44.39749801</v>
      </c>
      <c r="L86" s="117">
        <f t="shared" si="118"/>
        <v>45.729422950299998</v>
      </c>
      <c r="M86" s="117">
        <f t="shared" si="118"/>
        <v>47.101305638808995</v>
      </c>
      <c r="N86" s="117">
        <f t="shared" si="118"/>
        <v>48.514344807973274</v>
      </c>
      <c r="O86" s="117">
        <f t="shared" si="118"/>
        <v>49.96977515221247</v>
      </c>
      <c r="P86" s="117">
        <f t="shared" si="118"/>
        <v>51.468868406778839</v>
      </c>
      <c r="Q86" s="117">
        <f t="shared" si="118"/>
        <v>53.012934458982208</v>
      </c>
      <c r="R86" s="117">
        <f t="shared" si="118"/>
        <v>54.603322492751666</v>
      </c>
      <c r="S86" s="117">
        <f t="shared" ref="S86:AK86" si="119">S84-S85</f>
        <v>56.241422167534225</v>
      </c>
      <c r="T86" s="117">
        <f t="shared" si="119"/>
        <v>57.928664832560244</v>
      </c>
      <c r="U86" s="117">
        <f t="shared" si="119"/>
        <v>59.666524777537042</v>
      </c>
      <c r="V86" s="117">
        <f t="shared" si="119"/>
        <v>61.456520520863158</v>
      </c>
      <c r="W86" s="117">
        <f t="shared" si="119"/>
        <v>63.300216136489063</v>
      </c>
      <c r="X86" s="117">
        <f t="shared" si="119"/>
        <v>65.199222620583726</v>
      </c>
      <c r="Y86" s="117">
        <f t="shared" si="119"/>
        <v>67.155199299201229</v>
      </c>
      <c r="Z86" s="117">
        <f t="shared" si="119"/>
        <v>69.169855278177266</v>
      </c>
      <c r="AA86" s="117">
        <f t="shared" si="119"/>
        <v>71.244950936522585</v>
      </c>
      <c r="AB86" s="117">
        <f t="shared" si="119"/>
        <v>73.382299464618271</v>
      </c>
      <c r="AC86" s="117">
        <f t="shared" si="119"/>
        <v>75.58376844855681</v>
      </c>
      <c r="AD86" s="117">
        <f t="shared" si="119"/>
        <v>77.851281502013521</v>
      </c>
      <c r="AE86" s="117">
        <f t="shared" si="119"/>
        <v>80.186819947073928</v>
      </c>
      <c r="AF86" s="117">
        <f t="shared" si="119"/>
        <v>82.592424545486125</v>
      </c>
      <c r="AG86" s="117">
        <f t="shared" si="119"/>
        <v>85.070197281850724</v>
      </c>
      <c r="AH86" s="117">
        <f t="shared" si="119"/>
        <v>87.622303200306249</v>
      </c>
      <c r="AI86" s="117">
        <f t="shared" si="119"/>
        <v>90.250972296315425</v>
      </c>
      <c r="AJ86" s="117">
        <f t="shared" si="119"/>
        <v>92.95850146520489</v>
      </c>
      <c r="AK86" s="117">
        <f t="shared" si="119"/>
        <v>95.747256509161019</v>
      </c>
    </row>
    <row r="87" spans="1:37">
      <c r="B87" s="111" t="s">
        <v>587</v>
      </c>
      <c r="H87" s="130">
        <f>$G$21</f>
        <v>0.06</v>
      </c>
      <c r="I87" s="130">
        <f t="shared" ref="I87:AK87" si="120">$G$21</f>
        <v>0.06</v>
      </c>
      <c r="J87" s="130">
        <f t="shared" si="120"/>
        <v>0.06</v>
      </c>
      <c r="K87" s="130">
        <f t="shared" si="120"/>
        <v>0.06</v>
      </c>
      <c r="L87" s="130">
        <f t="shared" si="120"/>
        <v>0.06</v>
      </c>
      <c r="M87" s="130">
        <f t="shared" si="120"/>
        <v>0.06</v>
      </c>
      <c r="N87" s="130">
        <f t="shared" si="120"/>
        <v>0.06</v>
      </c>
      <c r="O87" s="130">
        <f t="shared" si="120"/>
        <v>0.06</v>
      </c>
      <c r="P87" s="130">
        <f t="shared" si="120"/>
        <v>0.06</v>
      </c>
      <c r="Q87" s="130">
        <f t="shared" si="120"/>
        <v>0.06</v>
      </c>
      <c r="R87" s="130">
        <f t="shared" si="120"/>
        <v>0.06</v>
      </c>
      <c r="S87" s="130">
        <f t="shared" si="120"/>
        <v>0.06</v>
      </c>
      <c r="T87" s="130">
        <f t="shared" si="120"/>
        <v>0.06</v>
      </c>
      <c r="U87" s="130">
        <f t="shared" si="120"/>
        <v>0.06</v>
      </c>
      <c r="V87" s="130">
        <f t="shared" si="120"/>
        <v>0.06</v>
      </c>
      <c r="W87" s="130">
        <f t="shared" si="120"/>
        <v>0.06</v>
      </c>
      <c r="X87" s="130">
        <f t="shared" si="120"/>
        <v>0.06</v>
      </c>
      <c r="Y87" s="130">
        <f t="shared" si="120"/>
        <v>0.06</v>
      </c>
      <c r="Z87" s="130">
        <f t="shared" si="120"/>
        <v>0.06</v>
      </c>
      <c r="AA87" s="130">
        <f t="shared" si="120"/>
        <v>0.06</v>
      </c>
      <c r="AB87" s="130">
        <f t="shared" si="120"/>
        <v>0.06</v>
      </c>
      <c r="AC87" s="130">
        <f t="shared" si="120"/>
        <v>0.06</v>
      </c>
      <c r="AD87" s="130">
        <f t="shared" si="120"/>
        <v>0.06</v>
      </c>
      <c r="AE87" s="130">
        <f t="shared" si="120"/>
        <v>0.06</v>
      </c>
      <c r="AF87" s="130">
        <f t="shared" si="120"/>
        <v>0.06</v>
      </c>
      <c r="AG87" s="130">
        <f t="shared" si="120"/>
        <v>0.06</v>
      </c>
      <c r="AH87" s="130">
        <f t="shared" si="120"/>
        <v>0.06</v>
      </c>
      <c r="AI87" s="130">
        <f t="shared" si="120"/>
        <v>0.06</v>
      </c>
      <c r="AJ87" s="130">
        <f t="shared" si="120"/>
        <v>0.06</v>
      </c>
      <c r="AK87" s="130">
        <f t="shared" si="120"/>
        <v>0.06</v>
      </c>
    </row>
    <row r="88" spans="1:37">
      <c r="B88" s="111" t="s">
        <v>556</v>
      </c>
      <c r="H88" s="117">
        <f>H86*H87</f>
        <v>2.4378000000000002</v>
      </c>
      <c r="I88" s="117">
        <f t="shared" ref="I88:R88" si="121">I86*I87</f>
        <v>2.5109340000000002</v>
      </c>
      <c r="J88" s="117">
        <f t="shared" si="121"/>
        <v>2.5862620199999995</v>
      </c>
      <c r="K88" s="117">
        <f t="shared" si="121"/>
        <v>2.6638498805999999</v>
      </c>
      <c r="L88" s="117">
        <f t="shared" si="121"/>
        <v>2.7437653770179997</v>
      </c>
      <c r="M88" s="117">
        <f t="shared" si="121"/>
        <v>2.8260783383285397</v>
      </c>
      <c r="N88" s="117">
        <f t="shared" si="121"/>
        <v>2.9108606884783965</v>
      </c>
      <c r="O88" s="117">
        <f t="shared" si="121"/>
        <v>2.998186509132748</v>
      </c>
      <c r="P88" s="117">
        <f t="shared" si="121"/>
        <v>3.0881321044067302</v>
      </c>
      <c r="Q88" s="117">
        <f t="shared" si="121"/>
        <v>3.1807760675389325</v>
      </c>
      <c r="R88" s="117">
        <f t="shared" si="121"/>
        <v>3.2761993495650996</v>
      </c>
      <c r="S88" s="117">
        <f t="shared" ref="S88:AK88" si="122">S86*S87</f>
        <v>3.3744853300520532</v>
      </c>
      <c r="T88" s="117">
        <f t="shared" si="122"/>
        <v>3.4757198899536146</v>
      </c>
      <c r="U88" s="117">
        <f t="shared" si="122"/>
        <v>3.5799914866522222</v>
      </c>
      <c r="V88" s="117">
        <f t="shared" si="122"/>
        <v>3.6873912312517891</v>
      </c>
      <c r="W88" s="117">
        <f t="shared" si="122"/>
        <v>3.7980129681893438</v>
      </c>
      <c r="X88" s="117">
        <f t="shared" si="122"/>
        <v>3.9119533572350234</v>
      </c>
      <c r="Y88" s="117">
        <f t="shared" si="122"/>
        <v>4.029311957952074</v>
      </c>
      <c r="Z88" s="117">
        <f t="shared" si="122"/>
        <v>4.1501913166906359</v>
      </c>
      <c r="AA88" s="117">
        <f t="shared" si="122"/>
        <v>4.2746970561913553</v>
      </c>
      <c r="AB88" s="117">
        <f t="shared" si="122"/>
        <v>4.4029379678770963</v>
      </c>
      <c r="AC88" s="117">
        <f t="shared" si="122"/>
        <v>4.5350261069134081</v>
      </c>
      <c r="AD88" s="117">
        <f t="shared" si="122"/>
        <v>4.6710768901208111</v>
      </c>
      <c r="AE88" s="117">
        <f t="shared" si="122"/>
        <v>4.8112091968244357</v>
      </c>
      <c r="AF88" s="117">
        <f t="shared" si="122"/>
        <v>4.9555454727291677</v>
      </c>
      <c r="AG88" s="117">
        <f t="shared" si="122"/>
        <v>5.104211836911043</v>
      </c>
      <c r="AH88" s="117">
        <f t="shared" si="122"/>
        <v>5.2573381920183744</v>
      </c>
      <c r="AI88" s="117">
        <f t="shared" si="122"/>
        <v>5.415058337778925</v>
      </c>
      <c r="AJ88" s="117">
        <f t="shared" si="122"/>
        <v>5.5775100879122927</v>
      </c>
      <c r="AK88" s="117">
        <f t="shared" si="122"/>
        <v>5.7448353905496612</v>
      </c>
    </row>
    <row r="90" spans="1:37">
      <c r="A90" s="111" t="s">
        <v>472</v>
      </c>
      <c r="B90" s="113" t="s">
        <v>588</v>
      </c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5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</row>
    <row r="91" spans="1:37">
      <c r="F91" s="698" t="s">
        <v>589</v>
      </c>
      <c r="G91" s="698"/>
      <c r="H91" s="698"/>
      <c r="I91" s="698"/>
      <c r="J91" s="698"/>
    </row>
    <row r="92" spans="1:37">
      <c r="E92" s="143">
        <f ca="1">G80</f>
        <v>0.25899958746038831</v>
      </c>
      <c r="F92" s="112">
        <v>3</v>
      </c>
      <c r="G92" s="112">
        <v>4</v>
      </c>
      <c r="H92" s="112">
        <v>5</v>
      </c>
      <c r="I92" s="112">
        <v>6</v>
      </c>
      <c r="J92" s="112">
        <v>7</v>
      </c>
    </row>
    <row r="93" spans="1:37">
      <c r="C93" s="699" t="s">
        <v>390</v>
      </c>
      <c r="D93" s="699"/>
      <c r="E93" s="144">
        <v>0.05</v>
      </c>
      <c r="F93" s="145">
        <f t="dataTable" ref="F93:J97" dt2D="1" dtr="1" r1="G25" r2="G23" ca="1"/>
        <v>0.80376011702811945</v>
      </c>
      <c r="G93" s="146">
        <v>0.59132441675943803</v>
      </c>
      <c r="H93" s="146">
        <v>0.48130042677604279</v>
      </c>
      <c r="I93" s="146">
        <v>0.41448491842782631</v>
      </c>
      <c r="J93" s="147">
        <v>0.36980484110843381</v>
      </c>
    </row>
    <row r="94" spans="1:37">
      <c r="C94" s="699"/>
      <c r="D94" s="699"/>
      <c r="E94" s="144">
        <v>5.2499999999999998E-2</v>
      </c>
      <c r="F94" s="148">
        <v>0.76519071609791811</v>
      </c>
      <c r="G94" s="145">
        <v>0.56757530709451198</v>
      </c>
      <c r="H94" s="146">
        <v>0.46476007263402641</v>
      </c>
      <c r="I94" s="147">
        <v>0.40213857560353561</v>
      </c>
      <c r="J94" s="149">
        <v>0.36017642698349439</v>
      </c>
    </row>
    <row r="95" spans="1:37">
      <c r="C95" s="699"/>
      <c r="D95" s="699"/>
      <c r="E95" s="144">
        <v>5.5E-2</v>
      </c>
      <c r="F95" s="148">
        <v>0.7287244114240099</v>
      </c>
      <c r="G95" s="148">
        <v>0.54504477234010462</v>
      </c>
      <c r="H95" s="150">
        <v>0.44905003761549889</v>
      </c>
      <c r="I95" s="149">
        <v>0.39041117461926844</v>
      </c>
      <c r="J95" s="149">
        <v>0.35103563078243472</v>
      </c>
      <c r="K95" s="128"/>
    </row>
    <row r="96" spans="1:37">
      <c r="C96" s="699"/>
      <c r="D96" s="699"/>
      <c r="E96" s="144">
        <v>5.7500000000000002E-2</v>
      </c>
      <c r="F96" s="148">
        <v>0.69414280686765961</v>
      </c>
      <c r="G96" s="151">
        <v>0.5236099861611061</v>
      </c>
      <c r="H96" s="152">
        <v>0.43408834150259334</v>
      </c>
      <c r="I96" s="153">
        <v>0.37924251650293694</v>
      </c>
      <c r="J96" s="149">
        <v>0.34233552559416558</v>
      </c>
    </row>
    <row r="97" spans="3:10">
      <c r="C97" s="699"/>
      <c r="D97" s="699"/>
      <c r="E97" s="144">
        <v>0.06</v>
      </c>
      <c r="F97" s="151">
        <v>0.6612580645657371</v>
      </c>
      <c r="G97" s="152">
        <v>0.50316494776815901</v>
      </c>
      <c r="H97" s="152">
        <v>0.41980410691064729</v>
      </c>
      <c r="I97" s="152">
        <v>0.36858050045979796</v>
      </c>
      <c r="J97" s="153">
        <v>0.33403547037798287</v>
      </c>
    </row>
  </sheetData>
  <mergeCells count="2">
    <mergeCell ref="F91:J91"/>
    <mergeCell ref="C93:D97"/>
  </mergeCells>
  <conditionalFormatting sqref="F93:J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343E0-B7C1-4B94-A0A8-E8551771E476}">
  <sheetPr>
    <tabColor rgb="FF002060"/>
  </sheetPr>
  <dimension ref="A2:AK92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12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B2" s="445" t="s">
        <v>762</v>
      </c>
      <c r="P2" s="420"/>
    </row>
    <row r="3" spans="1:19" ht="15.6">
      <c r="B3" s="446" t="s">
        <v>763</v>
      </c>
      <c r="P3" s="420"/>
    </row>
    <row r="5" spans="1:19">
      <c r="A5" s="111" t="s">
        <v>472</v>
      </c>
      <c r="B5" s="113" t="s">
        <v>473</v>
      </c>
      <c r="C5" s="113"/>
      <c r="D5" s="113"/>
      <c r="E5" s="113"/>
      <c r="F5" s="113"/>
      <c r="G5" s="113"/>
      <c r="H5" s="113"/>
      <c r="I5" s="114"/>
      <c r="J5" s="113" t="s">
        <v>449</v>
      </c>
      <c r="K5" s="113"/>
      <c r="L5" s="113"/>
      <c r="M5" s="165"/>
      <c r="N5" s="113" t="s">
        <v>616</v>
      </c>
      <c r="O5" s="113"/>
      <c r="P5" s="113"/>
      <c r="Q5" s="113"/>
      <c r="R5" s="113"/>
    </row>
    <row r="6" spans="1:19">
      <c r="B6" s="111" t="s">
        <v>557</v>
      </c>
      <c r="G6" s="154">
        <f>'Area Matrix'!D23</f>
        <v>0</v>
      </c>
      <c r="J6" s="111" t="s">
        <v>591</v>
      </c>
      <c r="L6" s="116">
        <f ca="1">SUM('Area Matrix'!D38,'Area Matrix'!H38,'Area Matrix'!L38,'Area Matrix'!P38,'Area Matrix'!T38)</f>
        <v>0</v>
      </c>
      <c r="M6" s="167"/>
      <c r="N6" s="111" t="s">
        <v>609</v>
      </c>
      <c r="O6" s="166"/>
      <c r="R6" s="163" t="e">
        <f>H39/H33</f>
        <v>#DIV/0!</v>
      </c>
    </row>
    <row r="7" spans="1:19">
      <c r="J7" s="118" t="s">
        <v>507</v>
      </c>
      <c r="L7" s="157">
        <f ca="1">L6*G19</f>
        <v>0</v>
      </c>
      <c r="M7" s="167"/>
      <c r="N7" s="169" t="s">
        <v>607</v>
      </c>
      <c r="O7" s="166"/>
      <c r="R7" s="163">
        <v>27.384184279748244</v>
      </c>
      <c r="S7" s="119"/>
    </row>
    <row r="8" spans="1:19">
      <c r="B8" s="113" t="s">
        <v>606</v>
      </c>
      <c r="C8" s="113"/>
      <c r="D8" s="113"/>
      <c r="E8" s="113"/>
      <c r="F8" s="113"/>
      <c r="G8" s="113"/>
      <c r="H8" s="113"/>
      <c r="I8" s="114"/>
      <c r="J8" s="123" t="s">
        <v>453</v>
      </c>
      <c r="K8" s="120"/>
      <c r="L8" s="121">
        <f ca="1">SUM(L6:L7)</f>
        <v>0</v>
      </c>
      <c r="M8" s="166"/>
      <c r="N8" s="169" t="s">
        <v>608</v>
      </c>
      <c r="O8" s="166"/>
      <c r="R8" s="163">
        <v>11.341258467286163</v>
      </c>
      <c r="S8" s="124"/>
    </row>
    <row r="9" spans="1:19">
      <c r="B9" s="111" t="s">
        <v>592</v>
      </c>
      <c r="G9" s="158">
        <f>ROUNDDOWN(G6/250,0)</f>
        <v>0</v>
      </c>
      <c r="J9" s="112"/>
      <c r="M9" s="167"/>
      <c r="N9" s="169"/>
      <c r="O9" s="166"/>
    </row>
    <row r="10" spans="1:19">
      <c r="B10" s="111" t="s">
        <v>597</v>
      </c>
      <c r="G10" s="163">
        <v>100</v>
      </c>
      <c r="H10" s="111" t="s">
        <v>562</v>
      </c>
      <c r="J10" s="113" t="s">
        <v>499</v>
      </c>
      <c r="K10" s="113"/>
      <c r="L10" s="113"/>
      <c r="M10" s="167"/>
      <c r="N10" s="169" t="s">
        <v>610</v>
      </c>
      <c r="O10" s="166"/>
      <c r="R10" s="163">
        <v>40.301831789999994</v>
      </c>
    </row>
    <row r="11" spans="1:19">
      <c r="B11" s="111" t="s">
        <v>594</v>
      </c>
      <c r="G11" s="127">
        <v>0.03</v>
      </c>
      <c r="H11" s="111" t="s">
        <v>564</v>
      </c>
      <c r="J11" s="118" t="s">
        <v>478</v>
      </c>
      <c r="L11" s="116">
        <f ca="1">G26</f>
        <v>0</v>
      </c>
      <c r="M11" s="167"/>
      <c r="N11" s="169" t="s">
        <v>611</v>
      </c>
      <c r="O11" s="166"/>
      <c r="R11" s="163">
        <v>20.784065939999994</v>
      </c>
    </row>
    <row r="12" spans="1:19">
      <c r="B12" s="111" t="s">
        <v>596</v>
      </c>
      <c r="G12" s="127">
        <v>0.7</v>
      </c>
      <c r="J12" s="118" t="s">
        <v>28</v>
      </c>
      <c r="L12" s="116">
        <f ca="1">L13-L11</f>
        <v>0</v>
      </c>
      <c r="M12" s="167"/>
      <c r="N12" s="169" t="s">
        <v>612</v>
      </c>
      <c r="O12" s="166"/>
      <c r="R12" s="163">
        <v>2.2709679299999994</v>
      </c>
    </row>
    <row r="13" spans="1:19">
      <c r="B13" s="111" t="s">
        <v>523</v>
      </c>
      <c r="G13" s="127">
        <v>0.03</v>
      </c>
      <c r="J13" s="123" t="s">
        <v>458</v>
      </c>
      <c r="K13" s="120"/>
      <c r="L13" s="121">
        <f ca="1">L8</f>
        <v>0</v>
      </c>
      <c r="M13" s="167"/>
      <c r="N13" s="168"/>
      <c r="O13" s="166"/>
    </row>
    <row r="14" spans="1:19">
      <c r="B14" s="111" t="s">
        <v>600</v>
      </c>
      <c r="G14" s="164">
        <v>365</v>
      </c>
      <c r="J14" s="112"/>
      <c r="M14" s="166"/>
      <c r="N14" s="113" t="s">
        <v>624</v>
      </c>
      <c r="O14" s="113"/>
      <c r="P14" s="113"/>
      <c r="Q14" s="113"/>
      <c r="R14" s="113"/>
    </row>
    <row r="15" spans="1:19">
      <c r="B15" s="111" t="s">
        <v>566</v>
      </c>
      <c r="G15" s="127">
        <v>0.02</v>
      </c>
      <c r="J15" s="111" t="s">
        <v>394</v>
      </c>
      <c r="L15" s="127">
        <v>0.08</v>
      </c>
      <c r="M15" s="167"/>
      <c r="N15" s="111" t="s">
        <v>618</v>
      </c>
      <c r="O15" s="166"/>
      <c r="R15" s="163">
        <v>18.031694669999997</v>
      </c>
    </row>
    <row r="16" spans="1:19">
      <c r="B16" s="111" t="s">
        <v>389</v>
      </c>
      <c r="G16" s="155">
        <v>7.2999999999999995E-2</v>
      </c>
      <c r="N16" s="111" t="s">
        <v>619</v>
      </c>
      <c r="R16" s="163">
        <v>14.494426649999998</v>
      </c>
    </row>
    <row r="17" spans="1:37">
      <c r="B17" s="111" t="s">
        <v>390</v>
      </c>
      <c r="G17" s="155">
        <v>0.06</v>
      </c>
      <c r="N17" s="111" t="s">
        <v>620</v>
      </c>
      <c r="R17" s="163">
        <v>2.5012043099999999</v>
      </c>
    </row>
    <row r="18" spans="1:37">
      <c r="B18" s="111" t="s">
        <v>391</v>
      </c>
      <c r="G18" s="156">
        <v>10</v>
      </c>
      <c r="H18" s="111" t="s">
        <v>560</v>
      </c>
      <c r="N18" s="111" t="s">
        <v>621</v>
      </c>
      <c r="R18" s="163">
        <v>7.9326898199999984</v>
      </c>
    </row>
    <row r="19" spans="1:37">
      <c r="B19" s="111" t="s">
        <v>393</v>
      </c>
      <c r="G19" s="127">
        <v>0</v>
      </c>
      <c r="M19" s="116"/>
      <c r="N19" s="111" t="s">
        <v>36</v>
      </c>
      <c r="R19" s="163">
        <v>5.3268326099999985</v>
      </c>
    </row>
    <row r="20" spans="1:37">
      <c r="J20" s="128"/>
      <c r="M20" s="116"/>
      <c r="N20" s="111" t="s">
        <v>622</v>
      </c>
      <c r="R20" s="163">
        <v>2.7733018499999993</v>
      </c>
    </row>
    <row r="21" spans="1:37">
      <c r="J21" s="128"/>
      <c r="N21" s="112"/>
    </row>
    <row r="22" spans="1:37">
      <c r="B22" s="113" t="s">
        <v>576</v>
      </c>
      <c r="C22" s="113"/>
      <c r="D22" s="113"/>
      <c r="E22" s="113"/>
      <c r="F22" s="113"/>
      <c r="G22" s="113"/>
      <c r="H22" s="113"/>
      <c r="I22" s="114"/>
      <c r="N22" s="112"/>
    </row>
    <row r="23" spans="1:37">
      <c r="B23" s="111" t="s">
        <v>577</v>
      </c>
      <c r="G23" s="127">
        <v>0.7</v>
      </c>
      <c r="H23" s="111" t="s">
        <v>578</v>
      </c>
      <c r="J23" s="124"/>
      <c r="N23" s="112"/>
    </row>
    <row r="24" spans="1:37">
      <c r="B24" s="111" t="s">
        <v>460</v>
      </c>
      <c r="G24" s="127">
        <v>0.05</v>
      </c>
      <c r="J24" s="124"/>
    </row>
    <row r="25" spans="1:37">
      <c r="B25" s="111" t="s">
        <v>540</v>
      </c>
      <c r="G25" s="111">
        <v>30</v>
      </c>
      <c r="H25" s="111" t="s">
        <v>579</v>
      </c>
    </row>
    <row r="26" spans="1:37">
      <c r="B26" s="111" t="s">
        <v>580</v>
      </c>
      <c r="G26" s="116">
        <f ca="1">G23*L8</f>
        <v>0</v>
      </c>
    </row>
    <row r="27" spans="1:37">
      <c r="B27" s="111" t="s">
        <v>581</v>
      </c>
      <c r="G27" s="116">
        <f ca="1">PMT(G24/12,G25*12,G26)</f>
        <v>0</v>
      </c>
    </row>
    <row r="29" spans="1:37">
      <c r="A29" s="111" t="s">
        <v>472</v>
      </c>
      <c r="B29" s="113" t="s">
        <v>513</v>
      </c>
      <c r="C29" s="113"/>
      <c r="D29" s="113"/>
      <c r="E29" s="113"/>
      <c r="F29" s="113"/>
      <c r="G29" s="129">
        <v>0</v>
      </c>
      <c r="H29" s="129">
        <f>G29+1</f>
        <v>1</v>
      </c>
      <c r="I29" s="129">
        <f t="shared" ref="I29:R29" si="0">H29+1</f>
        <v>2</v>
      </c>
      <c r="J29" s="129">
        <f t="shared" si="0"/>
        <v>3</v>
      </c>
      <c r="K29" s="129">
        <f t="shared" si="0"/>
        <v>4</v>
      </c>
      <c r="L29" s="129">
        <f t="shared" si="0"/>
        <v>5</v>
      </c>
      <c r="M29" s="129">
        <f t="shared" si="0"/>
        <v>6</v>
      </c>
      <c r="N29" s="129">
        <f t="shared" si="0"/>
        <v>7</v>
      </c>
      <c r="O29" s="129">
        <f t="shared" si="0"/>
        <v>8</v>
      </c>
      <c r="P29" s="129">
        <f t="shared" si="0"/>
        <v>9</v>
      </c>
      <c r="Q29" s="129">
        <f t="shared" si="0"/>
        <v>10</v>
      </c>
      <c r="R29" s="129">
        <f t="shared" si="0"/>
        <v>11</v>
      </c>
      <c r="S29" s="129">
        <f t="shared" ref="S29" si="1">R29+1</f>
        <v>12</v>
      </c>
      <c r="T29" s="129">
        <f t="shared" ref="T29" si="2">S29+1</f>
        <v>13</v>
      </c>
      <c r="U29" s="129">
        <f t="shared" ref="U29" si="3">T29+1</f>
        <v>14</v>
      </c>
      <c r="V29" s="129">
        <f t="shared" ref="V29" si="4">U29+1</f>
        <v>15</v>
      </c>
      <c r="W29" s="129">
        <f t="shared" ref="W29" si="5">V29+1</f>
        <v>16</v>
      </c>
      <c r="X29" s="129">
        <f t="shared" ref="X29" si="6">W29+1</f>
        <v>17</v>
      </c>
      <c r="Y29" s="129">
        <f t="shared" ref="Y29" si="7">X29+1</f>
        <v>18</v>
      </c>
      <c r="Z29" s="129">
        <f t="shared" ref="Z29" si="8">Y29+1</f>
        <v>19</v>
      </c>
      <c r="AA29" s="129">
        <f t="shared" ref="AA29" si="9">Z29+1</f>
        <v>20</v>
      </c>
      <c r="AB29" s="129">
        <f t="shared" ref="AB29" si="10">AA29+1</f>
        <v>21</v>
      </c>
      <c r="AC29" s="129">
        <f t="shared" ref="AC29" si="11">AB29+1</f>
        <v>22</v>
      </c>
      <c r="AD29" s="129">
        <f t="shared" ref="AD29" si="12">AC29+1</f>
        <v>23</v>
      </c>
      <c r="AE29" s="129">
        <f t="shared" ref="AE29" si="13">AD29+1</f>
        <v>24</v>
      </c>
      <c r="AF29" s="129">
        <f t="shared" ref="AF29" si="14">AE29+1</f>
        <v>25</v>
      </c>
      <c r="AG29" s="129">
        <f t="shared" ref="AG29" si="15">AF29+1</f>
        <v>26</v>
      </c>
      <c r="AH29" s="129">
        <f t="shared" ref="AH29" si="16">AG29+1</f>
        <v>27</v>
      </c>
      <c r="AI29" s="129">
        <f t="shared" ref="AI29" si="17">AH29+1</f>
        <v>28</v>
      </c>
      <c r="AJ29" s="129">
        <f t="shared" ref="AJ29" si="18">AI29+1</f>
        <v>29</v>
      </c>
      <c r="AK29" s="129">
        <f t="shared" ref="AK29" si="19">AJ29+1</f>
        <v>30</v>
      </c>
    </row>
    <row r="30" spans="1:37">
      <c r="B30" s="111" t="s">
        <v>595</v>
      </c>
      <c r="G30" s="116">
        <f ca="1">-L8</f>
        <v>0</v>
      </c>
    </row>
    <row r="31" spans="1:37">
      <c r="I31" s="131"/>
    </row>
    <row r="32" spans="1:37">
      <c r="B32" s="111" t="s">
        <v>598</v>
      </c>
      <c r="H32" s="160">
        <f>$G$9</f>
        <v>0</v>
      </c>
      <c r="I32" s="160">
        <f t="shared" ref="I32:AK32" si="20">$G$9</f>
        <v>0</v>
      </c>
      <c r="J32" s="160">
        <f t="shared" si="20"/>
        <v>0</v>
      </c>
      <c r="K32" s="160">
        <f t="shared" si="20"/>
        <v>0</v>
      </c>
      <c r="L32" s="160">
        <f t="shared" si="20"/>
        <v>0</v>
      </c>
      <c r="M32" s="160">
        <f t="shared" si="20"/>
        <v>0</v>
      </c>
      <c r="N32" s="160">
        <f t="shared" si="20"/>
        <v>0</v>
      </c>
      <c r="O32" s="160">
        <f t="shared" si="20"/>
        <v>0</v>
      </c>
      <c r="P32" s="160">
        <f t="shared" si="20"/>
        <v>0</v>
      </c>
      <c r="Q32" s="160">
        <f t="shared" si="20"/>
        <v>0</v>
      </c>
      <c r="R32" s="160">
        <f t="shared" si="20"/>
        <v>0</v>
      </c>
      <c r="S32" s="160">
        <f t="shared" si="20"/>
        <v>0</v>
      </c>
      <c r="T32" s="160">
        <f t="shared" si="20"/>
        <v>0</v>
      </c>
      <c r="U32" s="160">
        <f t="shared" si="20"/>
        <v>0</v>
      </c>
      <c r="V32" s="160">
        <f t="shared" si="20"/>
        <v>0</v>
      </c>
      <c r="W32" s="160">
        <f t="shared" si="20"/>
        <v>0</v>
      </c>
      <c r="X32" s="160">
        <f t="shared" si="20"/>
        <v>0</v>
      </c>
      <c r="Y32" s="160">
        <f t="shared" si="20"/>
        <v>0</v>
      </c>
      <c r="Z32" s="160">
        <f t="shared" si="20"/>
        <v>0</v>
      </c>
      <c r="AA32" s="160">
        <f t="shared" si="20"/>
        <v>0</v>
      </c>
      <c r="AB32" s="160">
        <f t="shared" si="20"/>
        <v>0</v>
      </c>
      <c r="AC32" s="160">
        <f t="shared" si="20"/>
        <v>0</v>
      </c>
      <c r="AD32" s="160">
        <f t="shared" si="20"/>
        <v>0</v>
      </c>
      <c r="AE32" s="160">
        <f t="shared" si="20"/>
        <v>0</v>
      </c>
      <c r="AF32" s="160">
        <f t="shared" si="20"/>
        <v>0</v>
      </c>
      <c r="AG32" s="160">
        <f t="shared" si="20"/>
        <v>0</v>
      </c>
      <c r="AH32" s="160">
        <f t="shared" si="20"/>
        <v>0</v>
      </c>
      <c r="AI32" s="160">
        <f t="shared" si="20"/>
        <v>0</v>
      </c>
      <c r="AJ32" s="160">
        <f t="shared" si="20"/>
        <v>0</v>
      </c>
      <c r="AK32" s="160">
        <f t="shared" si="20"/>
        <v>0</v>
      </c>
    </row>
    <row r="33" spans="2:37">
      <c r="B33" s="111" t="s">
        <v>602</v>
      </c>
      <c r="H33" s="162">
        <f t="shared" ref="H33:R33" si="21">H32*H36*$G$14</f>
        <v>0</v>
      </c>
      <c r="I33" s="162">
        <f t="shared" si="21"/>
        <v>0</v>
      </c>
      <c r="J33" s="162">
        <f t="shared" si="21"/>
        <v>0</v>
      </c>
      <c r="K33" s="162">
        <f t="shared" si="21"/>
        <v>0</v>
      </c>
      <c r="L33" s="162">
        <f t="shared" si="21"/>
        <v>0</v>
      </c>
      <c r="M33" s="162">
        <f t="shared" si="21"/>
        <v>0</v>
      </c>
      <c r="N33" s="162">
        <f t="shared" si="21"/>
        <v>0</v>
      </c>
      <c r="O33" s="162">
        <f t="shared" si="21"/>
        <v>0</v>
      </c>
      <c r="P33" s="162">
        <f t="shared" si="21"/>
        <v>0</v>
      </c>
      <c r="Q33" s="162">
        <f t="shared" si="21"/>
        <v>0</v>
      </c>
      <c r="R33" s="162">
        <f t="shared" si="21"/>
        <v>0</v>
      </c>
      <c r="S33" s="162">
        <f t="shared" ref="S33" si="22">S32*S36*$G$14</f>
        <v>0</v>
      </c>
      <c r="T33" s="162">
        <f t="shared" ref="T33" si="23">T32*T36*$G$14</f>
        <v>0</v>
      </c>
      <c r="U33" s="162">
        <f t="shared" ref="U33" si="24">U32*U36*$G$14</f>
        <v>0</v>
      </c>
      <c r="V33" s="162">
        <f t="shared" ref="V33" si="25">V32*V36*$G$14</f>
        <v>0</v>
      </c>
      <c r="W33" s="162">
        <f t="shared" ref="W33" si="26">W32*W36*$G$14</f>
        <v>0</v>
      </c>
      <c r="X33" s="162">
        <f t="shared" ref="X33" si="27">X32*X36*$G$14</f>
        <v>0</v>
      </c>
      <c r="Y33" s="162">
        <f t="shared" ref="Y33" si="28">Y32*Y36*$G$14</f>
        <v>0</v>
      </c>
      <c r="Z33" s="162">
        <f t="shared" ref="Z33" si="29">Z32*Z36*$G$14</f>
        <v>0</v>
      </c>
      <c r="AA33" s="162">
        <f t="shared" ref="AA33" si="30">AA32*AA36*$G$14</f>
        <v>0</v>
      </c>
      <c r="AB33" s="162">
        <f t="shared" ref="AB33" si="31">AB32*AB36*$G$14</f>
        <v>0</v>
      </c>
      <c r="AC33" s="162">
        <f t="shared" ref="AC33" si="32">AC32*AC36*$G$14</f>
        <v>0</v>
      </c>
      <c r="AD33" s="162">
        <f t="shared" ref="AD33" si="33">AD32*AD36*$G$14</f>
        <v>0</v>
      </c>
      <c r="AE33" s="162">
        <f t="shared" ref="AE33" si="34">AE32*AE36*$G$14</f>
        <v>0</v>
      </c>
      <c r="AF33" s="162">
        <f t="shared" ref="AF33" si="35">AF32*AF36*$G$14</f>
        <v>0</v>
      </c>
      <c r="AG33" s="162">
        <f t="shared" ref="AG33" si="36">AG32*AG36*$G$14</f>
        <v>0</v>
      </c>
      <c r="AH33" s="162">
        <f t="shared" ref="AH33" si="37">AH32*AH36*$G$14</f>
        <v>0</v>
      </c>
      <c r="AI33" s="162">
        <f t="shared" ref="AI33" si="38">AI32*AI36*$G$14</f>
        <v>0</v>
      </c>
      <c r="AJ33" s="162">
        <f t="shared" ref="AJ33" si="39">AJ32*AJ36*$G$14</f>
        <v>0</v>
      </c>
      <c r="AK33" s="162">
        <f t="shared" ref="AK33" si="40">AK32*AK36*$G$14</f>
        <v>0</v>
      </c>
    </row>
    <row r="34" spans="2:37">
      <c r="B34" s="111" t="s">
        <v>599</v>
      </c>
      <c r="H34" s="162">
        <f t="shared" ref="H34:R34" si="41">H32*$G$14</f>
        <v>0</v>
      </c>
      <c r="I34" s="162">
        <f t="shared" si="41"/>
        <v>0</v>
      </c>
      <c r="J34" s="162">
        <f t="shared" si="41"/>
        <v>0</v>
      </c>
      <c r="K34" s="162">
        <f t="shared" si="41"/>
        <v>0</v>
      </c>
      <c r="L34" s="162">
        <f t="shared" si="41"/>
        <v>0</v>
      </c>
      <c r="M34" s="162">
        <f t="shared" si="41"/>
        <v>0</v>
      </c>
      <c r="N34" s="162">
        <f t="shared" si="41"/>
        <v>0</v>
      </c>
      <c r="O34" s="162">
        <f t="shared" si="41"/>
        <v>0</v>
      </c>
      <c r="P34" s="162">
        <f t="shared" si="41"/>
        <v>0</v>
      </c>
      <c r="Q34" s="162">
        <f t="shared" si="41"/>
        <v>0</v>
      </c>
      <c r="R34" s="162">
        <f t="shared" si="41"/>
        <v>0</v>
      </c>
      <c r="S34" s="162">
        <f t="shared" ref="S34:AK34" si="42">S32*$G$14</f>
        <v>0</v>
      </c>
      <c r="T34" s="162">
        <f t="shared" si="42"/>
        <v>0</v>
      </c>
      <c r="U34" s="162">
        <f t="shared" si="42"/>
        <v>0</v>
      </c>
      <c r="V34" s="162">
        <f t="shared" si="42"/>
        <v>0</v>
      </c>
      <c r="W34" s="162">
        <f t="shared" si="42"/>
        <v>0</v>
      </c>
      <c r="X34" s="162">
        <f t="shared" si="42"/>
        <v>0</v>
      </c>
      <c r="Y34" s="162">
        <f t="shared" si="42"/>
        <v>0</v>
      </c>
      <c r="Z34" s="162">
        <f t="shared" si="42"/>
        <v>0</v>
      </c>
      <c r="AA34" s="162">
        <f t="shared" si="42"/>
        <v>0</v>
      </c>
      <c r="AB34" s="162">
        <f t="shared" si="42"/>
        <v>0</v>
      </c>
      <c r="AC34" s="162">
        <f t="shared" si="42"/>
        <v>0</v>
      </c>
      <c r="AD34" s="162">
        <f t="shared" si="42"/>
        <v>0</v>
      </c>
      <c r="AE34" s="162">
        <f t="shared" si="42"/>
        <v>0</v>
      </c>
      <c r="AF34" s="162">
        <f t="shared" si="42"/>
        <v>0</v>
      </c>
      <c r="AG34" s="162">
        <f t="shared" si="42"/>
        <v>0</v>
      </c>
      <c r="AH34" s="162">
        <f t="shared" si="42"/>
        <v>0</v>
      </c>
      <c r="AI34" s="162">
        <f t="shared" si="42"/>
        <v>0</v>
      </c>
      <c r="AJ34" s="162">
        <f t="shared" si="42"/>
        <v>0</v>
      </c>
      <c r="AK34" s="162">
        <f t="shared" si="42"/>
        <v>0</v>
      </c>
    </row>
    <row r="35" spans="2:37">
      <c r="B35" s="111" t="s">
        <v>593</v>
      </c>
      <c r="H35" s="116">
        <f t="shared" ref="H35:R35" si="43">$G$10*((1+$G$11)^G29)</f>
        <v>100</v>
      </c>
      <c r="I35" s="116">
        <f t="shared" si="43"/>
        <v>103</v>
      </c>
      <c r="J35" s="116">
        <f t="shared" si="43"/>
        <v>106.08999999999999</v>
      </c>
      <c r="K35" s="116">
        <f t="shared" si="43"/>
        <v>109.2727</v>
      </c>
      <c r="L35" s="116">
        <f t="shared" si="43"/>
        <v>112.55088099999999</v>
      </c>
      <c r="M35" s="116">
        <f t="shared" si="43"/>
        <v>115.92740742999999</v>
      </c>
      <c r="N35" s="116">
        <f t="shared" si="43"/>
        <v>119.40522965289999</v>
      </c>
      <c r="O35" s="116">
        <f t="shared" si="43"/>
        <v>122.987386542487</v>
      </c>
      <c r="P35" s="116">
        <f t="shared" si="43"/>
        <v>126.67700813876159</v>
      </c>
      <c r="Q35" s="116">
        <f t="shared" si="43"/>
        <v>130.47731838292444</v>
      </c>
      <c r="R35" s="116">
        <f t="shared" si="43"/>
        <v>134.39163793441219</v>
      </c>
      <c r="S35" s="116">
        <f t="shared" ref="S35:AK35" si="44">$G$10*((1+$G$11)^R29)</f>
        <v>138.42338707244454</v>
      </c>
      <c r="T35" s="116">
        <f t="shared" si="44"/>
        <v>142.57608868461787</v>
      </c>
      <c r="U35" s="116">
        <f t="shared" si="44"/>
        <v>146.8533713451564</v>
      </c>
      <c r="V35" s="116">
        <f t="shared" si="44"/>
        <v>151.25897248551109</v>
      </c>
      <c r="W35" s="116">
        <f t="shared" si="44"/>
        <v>155.79674166007644</v>
      </c>
      <c r="X35" s="116">
        <f t="shared" si="44"/>
        <v>160.4706439098787</v>
      </c>
      <c r="Y35" s="116">
        <f t="shared" si="44"/>
        <v>165.28476322717506</v>
      </c>
      <c r="Z35" s="116">
        <f t="shared" si="44"/>
        <v>170.24330612399032</v>
      </c>
      <c r="AA35" s="116">
        <f t="shared" si="44"/>
        <v>175.35060530771003</v>
      </c>
      <c r="AB35" s="116">
        <f t="shared" si="44"/>
        <v>180.61112346694134</v>
      </c>
      <c r="AC35" s="116">
        <f t="shared" si="44"/>
        <v>186.02945717094954</v>
      </c>
      <c r="AD35" s="116">
        <f t="shared" si="44"/>
        <v>191.61034088607803</v>
      </c>
      <c r="AE35" s="116">
        <f t="shared" si="44"/>
        <v>197.3586511126604</v>
      </c>
      <c r="AF35" s="116">
        <f t="shared" si="44"/>
        <v>203.27941064604019</v>
      </c>
      <c r="AG35" s="116">
        <f t="shared" si="44"/>
        <v>209.37779296542138</v>
      </c>
      <c r="AH35" s="116">
        <f t="shared" si="44"/>
        <v>215.65912675438406</v>
      </c>
      <c r="AI35" s="116">
        <f t="shared" si="44"/>
        <v>222.12890055701556</v>
      </c>
      <c r="AJ35" s="116">
        <f t="shared" si="44"/>
        <v>228.79276757372602</v>
      </c>
      <c r="AK35" s="116">
        <f t="shared" si="44"/>
        <v>235.65655060093778</v>
      </c>
    </row>
    <row r="36" spans="2:37">
      <c r="B36" s="111" t="s">
        <v>412</v>
      </c>
      <c r="H36" s="161">
        <f>$G$12</f>
        <v>0.7</v>
      </c>
      <c r="I36" s="161">
        <f t="shared" ref="I36:AK36" si="45">$G$12</f>
        <v>0.7</v>
      </c>
      <c r="J36" s="161">
        <f t="shared" si="45"/>
        <v>0.7</v>
      </c>
      <c r="K36" s="161">
        <f t="shared" si="45"/>
        <v>0.7</v>
      </c>
      <c r="L36" s="161">
        <f t="shared" si="45"/>
        <v>0.7</v>
      </c>
      <c r="M36" s="161">
        <f t="shared" si="45"/>
        <v>0.7</v>
      </c>
      <c r="N36" s="161">
        <f t="shared" si="45"/>
        <v>0.7</v>
      </c>
      <c r="O36" s="161">
        <f t="shared" si="45"/>
        <v>0.7</v>
      </c>
      <c r="P36" s="161">
        <f t="shared" si="45"/>
        <v>0.7</v>
      </c>
      <c r="Q36" s="161">
        <f t="shared" si="45"/>
        <v>0.7</v>
      </c>
      <c r="R36" s="161">
        <f t="shared" si="45"/>
        <v>0.7</v>
      </c>
      <c r="S36" s="161">
        <f t="shared" si="45"/>
        <v>0.7</v>
      </c>
      <c r="T36" s="161">
        <f t="shared" si="45"/>
        <v>0.7</v>
      </c>
      <c r="U36" s="161">
        <f t="shared" si="45"/>
        <v>0.7</v>
      </c>
      <c r="V36" s="161">
        <f t="shared" si="45"/>
        <v>0.7</v>
      </c>
      <c r="W36" s="161">
        <f t="shared" si="45"/>
        <v>0.7</v>
      </c>
      <c r="X36" s="161">
        <f t="shared" si="45"/>
        <v>0.7</v>
      </c>
      <c r="Y36" s="161">
        <f t="shared" si="45"/>
        <v>0.7</v>
      </c>
      <c r="Z36" s="161">
        <f t="shared" si="45"/>
        <v>0.7</v>
      </c>
      <c r="AA36" s="161">
        <f t="shared" si="45"/>
        <v>0.7</v>
      </c>
      <c r="AB36" s="161">
        <f t="shared" si="45"/>
        <v>0.7</v>
      </c>
      <c r="AC36" s="161">
        <f t="shared" si="45"/>
        <v>0.7</v>
      </c>
      <c r="AD36" s="161">
        <f t="shared" si="45"/>
        <v>0.7</v>
      </c>
      <c r="AE36" s="161">
        <f t="shared" si="45"/>
        <v>0.7</v>
      </c>
      <c r="AF36" s="161">
        <f t="shared" si="45"/>
        <v>0.7</v>
      </c>
      <c r="AG36" s="161">
        <f t="shared" si="45"/>
        <v>0.7</v>
      </c>
      <c r="AH36" s="161">
        <f t="shared" si="45"/>
        <v>0.7</v>
      </c>
      <c r="AI36" s="161">
        <f t="shared" si="45"/>
        <v>0.7</v>
      </c>
      <c r="AJ36" s="161">
        <f t="shared" si="45"/>
        <v>0.7</v>
      </c>
      <c r="AK36" s="161">
        <f t="shared" si="45"/>
        <v>0.7</v>
      </c>
    </row>
    <row r="37" spans="2:37">
      <c r="B37" s="111" t="s">
        <v>601</v>
      </c>
      <c r="H37" s="116">
        <f>H35*H36</f>
        <v>70</v>
      </c>
      <c r="I37" s="116">
        <f t="shared" ref="I37:R37" si="46">I35*I36</f>
        <v>72.099999999999994</v>
      </c>
      <c r="J37" s="116">
        <f t="shared" si="46"/>
        <v>74.262999999999991</v>
      </c>
      <c r="K37" s="116">
        <f t="shared" si="46"/>
        <v>76.490889999999993</v>
      </c>
      <c r="L37" s="116">
        <f t="shared" si="46"/>
        <v>78.785616699999991</v>
      </c>
      <c r="M37" s="116">
        <f t="shared" si="46"/>
        <v>81.14918520099998</v>
      </c>
      <c r="N37" s="116">
        <f t="shared" si="46"/>
        <v>83.583660757029989</v>
      </c>
      <c r="O37" s="116">
        <f t="shared" si="46"/>
        <v>86.09117057974089</v>
      </c>
      <c r="P37" s="116">
        <f t="shared" si="46"/>
        <v>88.673905697133108</v>
      </c>
      <c r="Q37" s="116">
        <f t="shared" si="46"/>
        <v>91.334122868047103</v>
      </c>
      <c r="R37" s="116">
        <f t="shared" si="46"/>
        <v>94.074146554088529</v>
      </c>
      <c r="S37" s="116">
        <f t="shared" ref="S37:AK37" si="47">S35*S36</f>
        <v>96.896370950711173</v>
      </c>
      <c r="T37" s="116">
        <f t="shared" si="47"/>
        <v>99.80326207923251</v>
      </c>
      <c r="U37" s="116">
        <f t="shared" si="47"/>
        <v>102.79735994160947</v>
      </c>
      <c r="V37" s="116">
        <f t="shared" si="47"/>
        <v>105.88128073985776</v>
      </c>
      <c r="W37" s="116">
        <f t="shared" si="47"/>
        <v>109.0577191620535</v>
      </c>
      <c r="X37" s="116">
        <f t="shared" si="47"/>
        <v>112.32945073691508</v>
      </c>
      <c r="Y37" s="116">
        <f t="shared" si="47"/>
        <v>115.69933425902254</v>
      </c>
      <c r="Z37" s="116">
        <f t="shared" si="47"/>
        <v>119.17031428679321</v>
      </c>
      <c r="AA37" s="116">
        <f t="shared" si="47"/>
        <v>122.74542371539701</v>
      </c>
      <c r="AB37" s="116">
        <f t="shared" si="47"/>
        <v>126.42778642685893</v>
      </c>
      <c r="AC37" s="116">
        <f t="shared" si="47"/>
        <v>130.22062001966466</v>
      </c>
      <c r="AD37" s="116">
        <f t="shared" si="47"/>
        <v>134.12723862025462</v>
      </c>
      <c r="AE37" s="116">
        <f t="shared" si="47"/>
        <v>138.15105577886226</v>
      </c>
      <c r="AF37" s="116">
        <f t="shared" si="47"/>
        <v>142.29558745222812</v>
      </c>
      <c r="AG37" s="116">
        <f t="shared" si="47"/>
        <v>146.56445507579497</v>
      </c>
      <c r="AH37" s="116">
        <f t="shared" si="47"/>
        <v>150.96138872806884</v>
      </c>
      <c r="AI37" s="116">
        <f t="shared" si="47"/>
        <v>155.49023038991089</v>
      </c>
      <c r="AJ37" s="116">
        <f t="shared" si="47"/>
        <v>160.15493730160821</v>
      </c>
      <c r="AK37" s="116">
        <f t="shared" si="47"/>
        <v>164.95958542065642</v>
      </c>
    </row>
    <row r="38" spans="2:37"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</row>
    <row r="39" spans="2:37">
      <c r="B39" s="159" t="s">
        <v>603</v>
      </c>
      <c r="H39" s="116">
        <f>H37*H34</f>
        <v>0</v>
      </c>
      <c r="I39" s="116">
        <f t="shared" ref="I39:R39" si="48">I37*I34</f>
        <v>0</v>
      </c>
      <c r="J39" s="116">
        <f t="shared" si="48"/>
        <v>0</v>
      </c>
      <c r="K39" s="116">
        <f t="shared" si="48"/>
        <v>0</v>
      </c>
      <c r="L39" s="116">
        <f t="shared" si="48"/>
        <v>0</v>
      </c>
      <c r="M39" s="116">
        <f t="shared" si="48"/>
        <v>0</v>
      </c>
      <c r="N39" s="116">
        <f t="shared" si="48"/>
        <v>0</v>
      </c>
      <c r="O39" s="116">
        <f t="shared" si="48"/>
        <v>0</v>
      </c>
      <c r="P39" s="116">
        <f t="shared" si="48"/>
        <v>0</v>
      </c>
      <c r="Q39" s="116">
        <f t="shared" si="48"/>
        <v>0</v>
      </c>
      <c r="R39" s="116">
        <f t="shared" si="48"/>
        <v>0</v>
      </c>
      <c r="S39" s="116">
        <f t="shared" ref="S39:AK39" si="49">S37*S34</f>
        <v>0</v>
      </c>
      <c r="T39" s="116">
        <f t="shared" si="49"/>
        <v>0</v>
      </c>
      <c r="U39" s="116">
        <f t="shared" si="49"/>
        <v>0</v>
      </c>
      <c r="V39" s="116">
        <f t="shared" si="49"/>
        <v>0</v>
      </c>
      <c r="W39" s="116">
        <f t="shared" si="49"/>
        <v>0</v>
      </c>
      <c r="X39" s="116">
        <f t="shared" si="49"/>
        <v>0</v>
      </c>
      <c r="Y39" s="116">
        <f t="shared" si="49"/>
        <v>0</v>
      </c>
      <c r="Z39" s="116">
        <f t="shared" si="49"/>
        <v>0</v>
      </c>
      <c r="AA39" s="116">
        <f t="shared" si="49"/>
        <v>0</v>
      </c>
      <c r="AB39" s="116">
        <f t="shared" si="49"/>
        <v>0</v>
      </c>
      <c r="AC39" s="116">
        <f t="shared" si="49"/>
        <v>0</v>
      </c>
      <c r="AD39" s="116">
        <f t="shared" si="49"/>
        <v>0</v>
      </c>
      <c r="AE39" s="116">
        <f t="shared" si="49"/>
        <v>0</v>
      </c>
      <c r="AF39" s="116">
        <f t="shared" si="49"/>
        <v>0</v>
      </c>
      <c r="AG39" s="116">
        <f t="shared" si="49"/>
        <v>0</v>
      </c>
      <c r="AH39" s="116">
        <f t="shared" si="49"/>
        <v>0</v>
      </c>
      <c r="AI39" s="116">
        <f t="shared" si="49"/>
        <v>0</v>
      </c>
      <c r="AJ39" s="116">
        <f t="shared" si="49"/>
        <v>0</v>
      </c>
      <c r="AK39" s="116">
        <f t="shared" si="49"/>
        <v>0</v>
      </c>
    </row>
    <row r="40" spans="2:37">
      <c r="B40" s="159" t="s">
        <v>604</v>
      </c>
      <c r="H40" s="116">
        <f t="shared" ref="H40:AK40" si="50">H$33*$R$7</f>
        <v>0</v>
      </c>
      <c r="I40" s="116">
        <f t="shared" si="50"/>
        <v>0</v>
      </c>
      <c r="J40" s="116">
        <f t="shared" si="50"/>
        <v>0</v>
      </c>
      <c r="K40" s="116">
        <f t="shared" si="50"/>
        <v>0</v>
      </c>
      <c r="L40" s="116">
        <f t="shared" si="50"/>
        <v>0</v>
      </c>
      <c r="M40" s="116">
        <f t="shared" si="50"/>
        <v>0</v>
      </c>
      <c r="N40" s="116">
        <f t="shared" si="50"/>
        <v>0</v>
      </c>
      <c r="O40" s="116">
        <f t="shared" si="50"/>
        <v>0</v>
      </c>
      <c r="P40" s="116">
        <f t="shared" si="50"/>
        <v>0</v>
      </c>
      <c r="Q40" s="116">
        <f t="shared" si="50"/>
        <v>0</v>
      </c>
      <c r="R40" s="116">
        <f t="shared" si="50"/>
        <v>0</v>
      </c>
      <c r="S40" s="116">
        <f t="shared" si="50"/>
        <v>0</v>
      </c>
      <c r="T40" s="116">
        <f t="shared" si="50"/>
        <v>0</v>
      </c>
      <c r="U40" s="116">
        <f t="shared" si="50"/>
        <v>0</v>
      </c>
      <c r="V40" s="116">
        <f t="shared" si="50"/>
        <v>0</v>
      </c>
      <c r="W40" s="116">
        <f t="shared" si="50"/>
        <v>0</v>
      </c>
      <c r="X40" s="116">
        <f t="shared" si="50"/>
        <v>0</v>
      </c>
      <c r="Y40" s="116">
        <f t="shared" si="50"/>
        <v>0</v>
      </c>
      <c r="Z40" s="116">
        <f t="shared" si="50"/>
        <v>0</v>
      </c>
      <c r="AA40" s="116">
        <f t="shared" si="50"/>
        <v>0</v>
      </c>
      <c r="AB40" s="116">
        <f t="shared" si="50"/>
        <v>0</v>
      </c>
      <c r="AC40" s="116">
        <f t="shared" si="50"/>
        <v>0</v>
      </c>
      <c r="AD40" s="116">
        <f t="shared" si="50"/>
        <v>0</v>
      </c>
      <c r="AE40" s="116">
        <f t="shared" si="50"/>
        <v>0</v>
      </c>
      <c r="AF40" s="116">
        <f t="shared" si="50"/>
        <v>0</v>
      </c>
      <c r="AG40" s="116">
        <f t="shared" si="50"/>
        <v>0</v>
      </c>
      <c r="AH40" s="116">
        <f t="shared" si="50"/>
        <v>0</v>
      </c>
      <c r="AI40" s="116">
        <f t="shared" si="50"/>
        <v>0</v>
      </c>
      <c r="AJ40" s="116">
        <f t="shared" si="50"/>
        <v>0</v>
      </c>
      <c r="AK40" s="116">
        <f t="shared" si="50"/>
        <v>0</v>
      </c>
    </row>
    <row r="41" spans="2:37">
      <c r="B41" s="159" t="s">
        <v>605</v>
      </c>
      <c r="H41" s="116">
        <f t="shared" ref="H41:AK41" si="51">H33*$R$8</f>
        <v>0</v>
      </c>
      <c r="I41" s="116">
        <f t="shared" si="51"/>
        <v>0</v>
      </c>
      <c r="J41" s="116">
        <f t="shared" si="51"/>
        <v>0</v>
      </c>
      <c r="K41" s="116">
        <f t="shared" si="51"/>
        <v>0</v>
      </c>
      <c r="L41" s="116">
        <f t="shared" si="51"/>
        <v>0</v>
      </c>
      <c r="M41" s="116">
        <f t="shared" si="51"/>
        <v>0</v>
      </c>
      <c r="N41" s="116">
        <f t="shared" si="51"/>
        <v>0</v>
      </c>
      <c r="O41" s="116">
        <f t="shared" si="51"/>
        <v>0</v>
      </c>
      <c r="P41" s="116">
        <f t="shared" si="51"/>
        <v>0</v>
      </c>
      <c r="Q41" s="116">
        <f t="shared" si="51"/>
        <v>0</v>
      </c>
      <c r="R41" s="116">
        <f t="shared" si="51"/>
        <v>0</v>
      </c>
      <c r="S41" s="116">
        <f t="shared" si="51"/>
        <v>0</v>
      </c>
      <c r="T41" s="116">
        <f t="shared" si="51"/>
        <v>0</v>
      </c>
      <c r="U41" s="116">
        <f t="shared" si="51"/>
        <v>0</v>
      </c>
      <c r="V41" s="116">
        <f t="shared" si="51"/>
        <v>0</v>
      </c>
      <c r="W41" s="116">
        <f t="shared" si="51"/>
        <v>0</v>
      </c>
      <c r="X41" s="116">
        <f t="shared" si="51"/>
        <v>0</v>
      </c>
      <c r="Y41" s="116">
        <f t="shared" si="51"/>
        <v>0</v>
      </c>
      <c r="Z41" s="116">
        <f t="shared" si="51"/>
        <v>0</v>
      </c>
      <c r="AA41" s="116">
        <f t="shared" si="51"/>
        <v>0</v>
      </c>
      <c r="AB41" s="116">
        <f t="shared" si="51"/>
        <v>0</v>
      </c>
      <c r="AC41" s="116">
        <f t="shared" si="51"/>
        <v>0</v>
      </c>
      <c r="AD41" s="116">
        <f t="shared" si="51"/>
        <v>0</v>
      </c>
      <c r="AE41" s="116">
        <f t="shared" si="51"/>
        <v>0</v>
      </c>
      <c r="AF41" s="116">
        <f t="shared" si="51"/>
        <v>0</v>
      </c>
      <c r="AG41" s="116">
        <f t="shared" si="51"/>
        <v>0</v>
      </c>
      <c r="AH41" s="116">
        <f t="shared" si="51"/>
        <v>0</v>
      </c>
      <c r="AI41" s="116">
        <f t="shared" si="51"/>
        <v>0</v>
      </c>
      <c r="AJ41" s="116">
        <f t="shared" si="51"/>
        <v>0</v>
      </c>
      <c r="AK41" s="116">
        <f t="shared" si="51"/>
        <v>0</v>
      </c>
    </row>
    <row r="42" spans="2:37">
      <c r="B42" s="120" t="s">
        <v>10</v>
      </c>
      <c r="C42" s="120"/>
      <c r="D42" s="120"/>
      <c r="E42" s="120"/>
      <c r="F42" s="120"/>
      <c r="G42" s="120"/>
      <c r="H42" s="121">
        <f>SUM(H39:H41)</f>
        <v>0</v>
      </c>
      <c r="I42" s="121">
        <f t="shared" ref="I42:R42" si="52">SUM(I39:I41)</f>
        <v>0</v>
      </c>
      <c r="J42" s="121">
        <f t="shared" si="52"/>
        <v>0</v>
      </c>
      <c r="K42" s="121">
        <f t="shared" si="52"/>
        <v>0</v>
      </c>
      <c r="L42" s="121">
        <f t="shared" si="52"/>
        <v>0</v>
      </c>
      <c r="M42" s="121">
        <f t="shared" si="52"/>
        <v>0</v>
      </c>
      <c r="N42" s="121">
        <f t="shared" si="52"/>
        <v>0</v>
      </c>
      <c r="O42" s="121">
        <f t="shared" si="52"/>
        <v>0</v>
      </c>
      <c r="P42" s="121">
        <f t="shared" si="52"/>
        <v>0</v>
      </c>
      <c r="Q42" s="121">
        <f t="shared" si="52"/>
        <v>0</v>
      </c>
      <c r="R42" s="121">
        <f t="shared" si="52"/>
        <v>0</v>
      </c>
      <c r="S42" s="121">
        <f t="shared" ref="S42:AK42" si="53">SUM(S39:S41)</f>
        <v>0</v>
      </c>
      <c r="T42" s="121">
        <f t="shared" si="53"/>
        <v>0</v>
      </c>
      <c r="U42" s="121">
        <f t="shared" si="53"/>
        <v>0</v>
      </c>
      <c r="V42" s="121">
        <f t="shared" si="53"/>
        <v>0</v>
      </c>
      <c r="W42" s="121">
        <f t="shared" si="53"/>
        <v>0</v>
      </c>
      <c r="X42" s="121">
        <f t="shared" si="53"/>
        <v>0</v>
      </c>
      <c r="Y42" s="121">
        <f t="shared" si="53"/>
        <v>0</v>
      </c>
      <c r="Z42" s="121">
        <f t="shared" si="53"/>
        <v>0</v>
      </c>
      <c r="AA42" s="121">
        <f t="shared" si="53"/>
        <v>0</v>
      </c>
      <c r="AB42" s="121">
        <f t="shared" si="53"/>
        <v>0</v>
      </c>
      <c r="AC42" s="121">
        <f t="shared" si="53"/>
        <v>0</v>
      </c>
      <c r="AD42" s="121">
        <f t="shared" si="53"/>
        <v>0</v>
      </c>
      <c r="AE42" s="121">
        <f t="shared" si="53"/>
        <v>0</v>
      </c>
      <c r="AF42" s="121">
        <f t="shared" si="53"/>
        <v>0</v>
      </c>
      <c r="AG42" s="121">
        <f t="shared" si="53"/>
        <v>0</v>
      </c>
      <c r="AH42" s="121">
        <f t="shared" si="53"/>
        <v>0</v>
      </c>
      <c r="AI42" s="121">
        <f t="shared" si="53"/>
        <v>0</v>
      </c>
      <c r="AJ42" s="121">
        <f t="shared" si="53"/>
        <v>0</v>
      </c>
      <c r="AK42" s="121">
        <f t="shared" si="53"/>
        <v>0</v>
      </c>
    </row>
    <row r="43" spans="2:37"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</row>
    <row r="44" spans="2:37">
      <c r="B44" s="111" t="s">
        <v>615</v>
      </c>
      <c r="H44" s="116">
        <f t="shared" ref="H44:AK44" si="54">H$33*$R10</f>
        <v>0</v>
      </c>
      <c r="I44" s="116">
        <f t="shared" si="54"/>
        <v>0</v>
      </c>
      <c r="J44" s="116">
        <f t="shared" si="54"/>
        <v>0</v>
      </c>
      <c r="K44" s="116">
        <f t="shared" si="54"/>
        <v>0</v>
      </c>
      <c r="L44" s="116">
        <f t="shared" si="54"/>
        <v>0</v>
      </c>
      <c r="M44" s="116">
        <f t="shared" si="54"/>
        <v>0</v>
      </c>
      <c r="N44" s="116">
        <f t="shared" si="54"/>
        <v>0</v>
      </c>
      <c r="O44" s="116">
        <f t="shared" si="54"/>
        <v>0</v>
      </c>
      <c r="P44" s="116">
        <f t="shared" si="54"/>
        <v>0</v>
      </c>
      <c r="Q44" s="116">
        <f t="shared" si="54"/>
        <v>0</v>
      </c>
      <c r="R44" s="116">
        <f t="shared" si="54"/>
        <v>0</v>
      </c>
      <c r="S44" s="116">
        <f t="shared" si="54"/>
        <v>0</v>
      </c>
      <c r="T44" s="116">
        <f t="shared" si="54"/>
        <v>0</v>
      </c>
      <c r="U44" s="116">
        <f t="shared" si="54"/>
        <v>0</v>
      </c>
      <c r="V44" s="116">
        <f t="shared" si="54"/>
        <v>0</v>
      </c>
      <c r="W44" s="116">
        <f t="shared" si="54"/>
        <v>0</v>
      </c>
      <c r="X44" s="116">
        <f t="shared" si="54"/>
        <v>0</v>
      </c>
      <c r="Y44" s="116">
        <f t="shared" si="54"/>
        <v>0</v>
      </c>
      <c r="Z44" s="116">
        <f t="shared" si="54"/>
        <v>0</v>
      </c>
      <c r="AA44" s="116">
        <f t="shared" si="54"/>
        <v>0</v>
      </c>
      <c r="AB44" s="116">
        <f t="shared" si="54"/>
        <v>0</v>
      </c>
      <c r="AC44" s="116">
        <f t="shared" si="54"/>
        <v>0</v>
      </c>
      <c r="AD44" s="116">
        <f t="shared" si="54"/>
        <v>0</v>
      </c>
      <c r="AE44" s="116">
        <f t="shared" si="54"/>
        <v>0</v>
      </c>
      <c r="AF44" s="116">
        <f t="shared" si="54"/>
        <v>0</v>
      </c>
      <c r="AG44" s="116">
        <f t="shared" si="54"/>
        <v>0</v>
      </c>
      <c r="AH44" s="116">
        <f t="shared" si="54"/>
        <v>0</v>
      </c>
      <c r="AI44" s="116">
        <f t="shared" si="54"/>
        <v>0</v>
      </c>
      <c r="AJ44" s="116">
        <f t="shared" si="54"/>
        <v>0</v>
      </c>
      <c r="AK44" s="116">
        <f t="shared" si="54"/>
        <v>0</v>
      </c>
    </row>
    <row r="45" spans="2:37">
      <c r="B45" s="111" t="s">
        <v>614</v>
      </c>
      <c r="H45" s="116">
        <f t="shared" ref="H45:AK45" si="55">H$33*$R11</f>
        <v>0</v>
      </c>
      <c r="I45" s="116">
        <f t="shared" si="55"/>
        <v>0</v>
      </c>
      <c r="J45" s="116">
        <f t="shared" si="55"/>
        <v>0</v>
      </c>
      <c r="K45" s="116">
        <f t="shared" si="55"/>
        <v>0</v>
      </c>
      <c r="L45" s="116">
        <f t="shared" si="55"/>
        <v>0</v>
      </c>
      <c r="M45" s="116">
        <f t="shared" si="55"/>
        <v>0</v>
      </c>
      <c r="N45" s="116">
        <f t="shared" si="55"/>
        <v>0</v>
      </c>
      <c r="O45" s="116">
        <f t="shared" si="55"/>
        <v>0</v>
      </c>
      <c r="P45" s="116">
        <f t="shared" si="55"/>
        <v>0</v>
      </c>
      <c r="Q45" s="116">
        <f t="shared" si="55"/>
        <v>0</v>
      </c>
      <c r="R45" s="116">
        <f t="shared" si="55"/>
        <v>0</v>
      </c>
      <c r="S45" s="116">
        <f t="shared" si="55"/>
        <v>0</v>
      </c>
      <c r="T45" s="116">
        <f t="shared" si="55"/>
        <v>0</v>
      </c>
      <c r="U45" s="116">
        <f t="shared" si="55"/>
        <v>0</v>
      </c>
      <c r="V45" s="116">
        <f t="shared" si="55"/>
        <v>0</v>
      </c>
      <c r="W45" s="116">
        <f t="shared" si="55"/>
        <v>0</v>
      </c>
      <c r="X45" s="116">
        <f t="shared" si="55"/>
        <v>0</v>
      </c>
      <c r="Y45" s="116">
        <f t="shared" si="55"/>
        <v>0</v>
      </c>
      <c r="Z45" s="116">
        <f t="shared" si="55"/>
        <v>0</v>
      </c>
      <c r="AA45" s="116">
        <f t="shared" si="55"/>
        <v>0</v>
      </c>
      <c r="AB45" s="116">
        <f t="shared" si="55"/>
        <v>0</v>
      </c>
      <c r="AC45" s="116">
        <f t="shared" si="55"/>
        <v>0</v>
      </c>
      <c r="AD45" s="116">
        <f t="shared" si="55"/>
        <v>0</v>
      </c>
      <c r="AE45" s="116">
        <f t="shared" si="55"/>
        <v>0</v>
      </c>
      <c r="AF45" s="116">
        <f t="shared" si="55"/>
        <v>0</v>
      </c>
      <c r="AG45" s="116">
        <f t="shared" si="55"/>
        <v>0</v>
      </c>
      <c r="AH45" s="116">
        <f t="shared" si="55"/>
        <v>0</v>
      </c>
      <c r="AI45" s="116">
        <f t="shared" si="55"/>
        <v>0</v>
      </c>
      <c r="AJ45" s="116">
        <f t="shared" si="55"/>
        <v>0</v>
      </c>
      <c r="AK45" s="116">
        <f t="shared" si="55"/>
        <v>0</v>
      </c>
    </row>
    <row r="46" spans="2:37">
      <c r="B46" s="111" t="s">
        <v>613</v>
      </c>
      <c r="H46" s="116">
        <f t="shared" ref="H46:AK46" si="56">H$33*$R12</f>
        <v>0</v>
      </c>
      <c r="I46" s="116">
        <f t="shared" si="56"/>
        <v>0</v>
      </c>
      <c r="J46" s="116">
        <f t="shared" si="56"/>
        <v>0</v>
      </c>
      <c r="K46" s="116">
        <f t="shared" si="56"/>
        <v>0</v>
      </c>
      <c r="L46" s="116">
        <f t="shared" si="56"/>
        <v>0</v>
      </c>
      <c r="M46" s="116">
        <f t="shared" si="56"/>
        <v>0</v>
      </c>
      <c r="N46" s="116">
        <f t="shared" si="56"/>
        <v>0</v>
      </c>
      <c r="O46" s="116">
        <f t="shared" si="56"/>
        <v>0</v>
      </c>
      <c r="P46" s="116">
        <f t="shared" si="56"/>
        <v>0</v>
      </c>
      <c r="Q46" s="116">
        <f t="shared" si="56"/>
        <v>0</v>
      </c>
      <c r="R46" s="116">
        <f t="shared" si="56"/>
        <v>0</v>
      </c>
      <c r="S46" s="116">
        <f t="shared" si="56"/>
        <v>0</v>
      </c>
      <c r="T46" s="116">
        <f t="shared" si="56"/>
        <v>0</v>
      </c>
      <c r="U46" s="116">
        <f t="shared" si="56"/>
        <v>0</v>
      </c>
      <c r="V46" s="116">
        <f t="shared" si="56"/>
        <v>0</v>
      </c>
      <c r="W46" s="116">
        <f t="shared" si="56"/>
        <v>0</v>
      </c>
      <c r="X46" s="116">
        <f t="shared" si="56"/>
        <v>0</v>
      </c>
      <c r="Y46" s="116">
        <f t="shared" si="56"/>
        <v>0</v>
      </c>
      <c r="Z46" s="116">
        <f t="shared" si="56"/>
        <v>0</v>
      </c>
      <c r="AA46" s="116">
        <f t="shared" si="56"/>
        <v>0</v>
      </c>
      <c r="AB46" s="116">
        <f t="shared" si="56"/>
        <v>0</v>
      </c>
      <c r="AC46" s="116">
        <f t="shared" si="56"/>
        <v>0</v>
      </c>
      <c r="AD46" s="116">
        <f t="shared" si="56"/>
        <v>0</v>
      </c>
      <c r="AE46" s="116">
        <f t="shared" si="56"/>
        <v>0</v>
      </c>
      <c r="AF46" s="116">
        <f t="shared" si="56"/>
        <v>0</v>
      </c>
      <c r="AG46" s="116">
        <f t="shared" si="56"/>
        <v>0</v>
      </c>
      <c r="AH46" s="116">
        <f t="shared" si="56"/>
        <v>0</v>
      </c>
      <c r="AI46" s="116">
        <f t="shared" si="56"/>
        <v>0</v>
      </c>
      <c r="AJ46" s="116">
        <f t="shared" si="56"/>
        <v>0</v>
      </c>
      <c r="AK46" s="116">
        <f t="shared" si="56"/>
        <v>0</v>
      </c>
    </row>
    <row r="47" spans="2:37">
      <c r="B47" s="120" t="s">
        <v>414</v>
      </c>
      <c r="C47" s="120"/>
      <c r="D47" s="120"/>
      <c r="E47" s="120"/>
      <c r="F47" s="120"/>
      <c r="G47" s="120"/>
      <c r="H47" s="121">
        <f>SUM(H44:H46)</f>
        <v>0</v>
      </c>
      <c r="I47" s="121">
        <f t="shared" ref="I47:R47" si="57">SUM(I44:I46)</f>
        <v>0</v>
      </c>
      <c r="J47" s="121">
        <f t="shared" si="57"/>
        <v>0</v>
      </c>
      <c r="K47" s="121">
        <f t="shared" si="57"/>
        <v>0</v>
      </c>
      <c r="L47" s="121">
        <f t="shared" si="57"/>
        <v>0</v>
      </c>
      <c r="M47" s="121">
        <f t="shared" si="57"/>
        <v>0</v>
      </c>
      <c r="N47" s="121">
        <f t="shared" si="57"/>
        <v>0</v>
      </c>
      <c r="O47" s="121">
        <f t="shared" si="57"/>
        <v>0</v>
      </c>
      <c r="P47" s="121">
        <f t="shared" si="57"/>
        <v>0</v>
      </c>
      <c r="Q47" s="121">
        <f t="shared" si="57"/>
        <v>0</v>
      </c>
      <c r="R47" s="121">
        <f t="shared" si="57"/>
        <v>0</v>
      </c>
      <c r="S47" s="121">
        <f t="shared" ref="S47:AK47" si="58">SUM(S44:S46)</f>
        <v>0</v>
      </c>
      <c r="T47" s="121">
        <f t="shared" si="58"/>
        <v>0</v>
      </c>
      <c r="U47" s="121">
        <f t="shared" si="58"/>
        <v>0</v>
      </c>
      <c r="V47" s="121">
        <f t="shared" si="58"/>
        <v>0</v>
      </c>
      <c r="W47" s="121">
        <f t="shared" si="58"/>
        <v>0</v>
      </c>
      <c r="X47" s="121">
        <f t="shared" si="58"/>
        <v>0</v>
      </c>
      <c r="Y47" s="121">
        <f t="shared" si="58"/>
        <v>0</v>
      </c>
      <c r="Z47" s="121">
        <f t="shared" si="58"/>
        <v>0</v>
      </c>
      <c r="AA47" s="121">
        <f t="shared" si="58"/>
        <v>0</v>
      </c>
      <c r="AB47" s="121">
        <f t="shared" si="58"/>
        <v>0</v>
      </c>
      <c r="AC47" s="121">
        <f t="shared" si="58"/>
        <v>0</v>
      </c>
      <c r="AD47" s="121">
        <f t="shared" si="58"/>
        <v>0</v>
      </c>
      <c r="AE47" s="121">
        <f t="shared" si="58"/>
        <v>0</v>
      </c>
      <c r="AF47" s="121">
        <f t="shared" si="58"/>
        <v>0</v>
      </c>
      <c r="AG47" s="121">
        <f t="shared" si="58"/>
        <v>0</v>
      </c>
      <c r="AH47" s="121">
        <f t="shared" si="58"/>
        <v>0</v>
      </c>
      <c r="AI47" s="121">
        <f t="shared" si="58"/>
        <v>0</v>
      </c>
      <c r="AJ47" s="121">
        <f t="shared" si="58"/>
        <v>0</v>
      </c>
      <c r="AK47" s="121">
        <f t="shared" si="58"/>
        <v>0</v>
      </c>
    </row>
    <row r="49" spans="2:37">
      <c r="B49" s="171" t="s">
        <v>617</v>
      </c>
    </row>
    <row r="50" spans="2:37">
      <c r="B50" s="111" t="s">
        <v>618</v>
      </c>
      <c r="H50" s="116">
        <f t="shared" ref="H50:AK50" si="59">H$33*$R15</f>
        <v>0</v>
      </c>
      <c r="I50" s="116">
        <f t="shared" si="59"/>
        <v>0</v>
      </c>
      <c r="J50" s="116">
        <f t="shared" si="59"/>
        <v>0</v>
      </c>
      <c r="K50" s="116">
        <f t="shared" si="59"/>
        <v>0</v>
      </c>
      <c r="L50" s="116">
        <f t="shared" si="59"/>
        <v>0</v>
      </c>
      <c r="M50" s="116">
        <f t="shared" si="59"/>
        <v>0</v>
      </c>
      <c r="N50" s="116">
        <f t="shared" si="59"/>
        <v>0</v>
      </c>
      <c r="O50" s="116">
        <f t="shared" si="59"/>
        <v>0</v>
      </c>
      <c r="P50" s="116">
        <f t="shared" si="59"/>
        <v>0</v>
      </c>
      <c r="Q50" s="116">
        <f t="shared" si="59"/>
        <v>0</v>
      </c>
      <c r="R50" s="116">
        <f t="shared" si="59"/>
        <v>0</v>
      </c>
      <c r="S50" s="116">
        <f t="shared" si="59"/>
        <v>0</v>
      </c>
      <c r="T50" s="116">
        <f t="shared" si="59"/>
        <v>0</v>
      </c>
      <c r="U50" s="116">
        <f t="shared" si="59"/>
        <v>0</v>
      </c>
      <c r="V50" s="116">
        <f t="shared" si="59"/>
        <v>0</v>
      </c>
      <c r="W50" s="116">
        <f t="shared" si="59"/>
        <v>0</v>
      </c>
      <c r="X50" s="116">
        <f t="shared" si="59"/>
        <v>0</v>
      </c>
      <c r="Y50" s="116">
        <f t="shared" si="59"/>
        <v>0</v>
      </c>
      <c r="Z50" s="116">
        <f t="shared" si="59"/>
        <v>0</v>
      </c>
      <c r="AA50" s="116">
        <f t="shared" si="59"/>
        <v>0</v>
      </c>
      <c r="AB50" s="116">
        <f t="shared" si="59"/>
        <v>0</v>
      </c>
      <c r="AC50" s="116">
        <f t="shared" si="59"/>
        <v>0</v>
      </c>
      <c r="AD50" s="116">
        <f t="shared" si="59"/>
        <v>0</v>
      </c>
      <c r="AE50" s="116">
        <f t="shared" si="59"/>
        <v>0</v>
      </c>
      <c r="AF50" s="116">
        <f t="shared" si="59"/>
        <v>0</v>
      </c>
      <c r="AG50" s="116">
        <f t="shared" si="59"/>
        <v>0</v>
      </c>
      <c r="AH50" s="116">
        <f t="shared" si="59"/>
        <v>0</v>
      </c>
      <c r="AI50" s="116">
        <f t="shared" si="59"/>
        <v>0</v>
      </c>
      <c r="AJ50" s="116">
        <f t="shared" si="59"/>
        <v>0</v>
      </c>
      <c r="AK50" s="116">
        <f t="shared" si="59"/>
        <v>0</v>
      </c>
    </row>
    <row r="51" spans="2:37">
      <c r="B51" s="111" t="s">
        <v>619</v>
      </c>
      <c r="H51" s="116">
        <f t="shared" ref="H51:AK51" si="60">H$33*$R16</f>
        <v>0</v>
      </c>
      <c r="I51" s="116">
        <f t="shared" si="60"/>
        <v>0</v>
      </c>
      <c r="J51" s="116">
        <f t="shared" si="60"/>
        <v>0</v>
      </c>
      <c r="K51" s="116">
        <f t="shared" si="60"/>
        <v>0</v>
      </c>
      <c r="L51" s="116">
        <f t="shared" si="60"/>
        <v>0</v>
      </c>
      <c r="M51" s="116">
        <f t="shared" si="60"/>
        <v>0</v>
      </c>
      <c r="N51" s="116">
        <f t="shared" si="60"/>
        <v>0</v>
      </c>
      <c r="O51" s="116">
        <f t="shared" si="60"/>
        <v>0</v>
      </c>
      <c r="P51" s="116">
        <f t="shared" si="60"/>
        <v>0</v>
      </c>
      <c r="Q51" s="116">
        <f t="shared" si="60"/>
        <v>0</v>
      </c>
      <c r="R51" s="116">
        <f t="shared" si="60"/>
        <v>0</v>
      </c>
      <c r="S51" s="116">
        <f t="shared" si="60"/>
        <v>0</v>
      </c>
      <c r="T51" s="116">
        <f t="shared" si="60"/>
        <v>0</v>
      </c>
      <c r="U51" s="116">
        <f t="shared" si="60"/>
        <v>0</v>
      </c>
      <c r="V51" s="116">
        <f t="shared" si="60"/>
        <v>0</v>
      </c>
      <c r="W51" s="116">
        <f t="shared" si="60"/>
        <v>0</v>
      </c>
      <c r="X51" s="116">
        <f t="shared" si="60"/>
        <v>0</v>
      </c>
      <c r="Y51" s="116">
        <f t="shared" si="60"/>
        <v>0</v>
      </c>
      <c r="Z51" s="116">
        <f t="shared" si="60"/>
        <v>0</v>
      </c>
      <c r="AA51" s="116">
        <f t="shared" si="60"/>
        <v>0</v>
      </c>
      <c r="AB51" s="116">
        <f t="shared" si="60"/>
        <v>0</v>
      </c>
      <c r="AC51" s="116">
        <f t="shared" si="60"/>
        <v>0</v>
      </c>
      <c r="AD51" s="116">
        <f t="shared" si="60"/>
        <v>0</v>
      </c>
      <c r="AE51" s="116">
        <f t="shared" si="60"/>
        <v>0</v>
      </c>
      <c r="AF51" s="116">
        <f t="shared" si="60"/>
        <v>0</v>
      </c>
      <c r="AG51" s="116">
        <f t="shared" si="60"/>
        <v>0</v>
      </c>
      <c r="AH51" s="116">
        <f t="shared" si="60"/>
        <v>0</v>
      </c>
      <c r="AI51" s="116">
        <f t="shared" si="60"/>
        <v>0</v>
      </c>
      <c r="AJ51" s="116">
        <f t="shared" si="60"/>
        <v>0</v>
      </c>
      <c r="AK51" s="116">
        <f t="shared" si="60"/>
        <v>0</v>
      </c>
    </row>
    <row r="52" spans="2:37">
      <c r="B52" s="111" t="s">
        <v>620</v>
      </c>
      <c r="H52" s="116">
        <f t="shared" ref="H52:AK52" si="61">H$33*$R17</f>
        <v>0</v>
      </c>
      <c r="I52" s="116">
        <f t="shared" si="61"/>
        <v>0</v>
      </c>
      <c r="J52" s="116">
        <f t="shared" si="61"/>
        <v>0</v>
      </c>
      <c r="K52" s="116">
        <f t="shared" si="61"/>
        <v>0</v>
      </c>
      <c r="L52" s="116">
        <f t="shared" si="61"/>
        <v>0</v>
      </c>
      <c r="M52" s="116">
        <f t="shared" si="61"/>
        <v>0</v>
      </c>
      <c r="N52" s="116">
        <f t="shared" si="61"/>
        <v>0</v>
      </c>
      <c r="O52" s="116">
        <f t="shared" si="61"/>
        <v>0</v>
      </c>
      <c r="P52" s="116">
        <f t="shared" si="61"/>
        <v>0</v>
      </c>
      <c r="Q52" s="116">
        <f t="shared" si="61"/>
        <v>0</v>
      </c>
      <c r="R52" s="116">
        <f t="shared" si="61"/>
        <v>0</v>
      </c>
      <c r="S52" s="116">
        <f t="shared" si="61"/>
        <v>0</v>
      </c>
      <c r="T52" s="116">
        <f t="shared" si="61"/>
        <v>0</v>
      </c>
      <c r="U52" s="116">
        <f t="shared" si="61"/>
        <v>0</v>
      </c>
      <c r="V52" s="116">
        <f t="shared" si="61"/>
        <v>0</v>
      </c>
      <c r="W52" s="116">
        <f t="shared" si="61"/>
        <v>0</v>
      </c>
      <c r="X52" s="116">
        <f t="shared" si="61"/>
        <v>0</v>
      </c>
      <c r="Y52" s="116">
        <f t="shared" si="61"/>
        <v>0</v>
      </c>
      <c r="Z52" s="116">
        <f t="shared" si="61"/>
        <v>0</v>
      </c>
      <c r="AA52" s="116">
        <f t="shared" si="61"/>
        <v>0</v>
      </c>
      <c r="AB52" s="116">
        <f t="shared" si="61"/>
        <v>0</v>
      </c>
      <c r="AC52" s="116">
        <f t="shared" si="61"/>
        <v>0</v>
      </c>
      <c r="AD52" s="116">
        <f t="shared" si="61"/>
        <v>0</v>
      </c>
      <c r="AE52" s="116">
        <f t="shared" si="61"/>
        <v>0</v>
      </c>
      <c r="AF52" s="116">
        <f t="shared" si="61"/>
        <v>0</v>
      </c>
      <c r="AG52" s="116">
        <f t="shared" si="61"/>
        <v>0</v>
      </c>
      <c r="AH52" s="116">
        <f t="shared" si="61"/>
        <v>0</v>
      </c>
      <c r="AI52" s="116">
        <f t="shared" si="61"/>
        <v>0</v>
      </c>
      <c r="AJ52" s="116">
        <f t="shared" si="61"/>
        <v>0</v>
      </c>
      <c r="AK52" s="116">
        <f t="shared" si="61"/>
        <v>0</v>
      </c>
    </row>
    <row r="53" spans="2:37">
      <c r="B53" s="111" t="s">
        <v>621</v>
      </c>
      <c r="H53" s="116">
        <f t="shared" ref="H53:AK53" si="62">H$33*$R18</f>
        <v>0</v>
      </c>
      <c r="I53" s="116">
        <f t="shared" si="62"/>
        <v>0</v>
      </c>
      <c r="J53" s="116">
        <f t="shared" si="62"/>
        <v>0</v>
      </c>
      <c r="K53" s="116">
        <f t="shared" si="62"/>
        <v>0</v>
      </c>
      <c r="L53" s="116">
        <f t="shared" si="62"/>
        <v>0</v>
      </c>
      <c r="M53" s="116">
        <f t="shared" si="62"/>
        <v>0</v>
      </c>
      <c r="N53" s="116">
        <f t="shared" si="62"/>
        <v>0</v>
      </c>
      <c r="O53" s="116">
        <f t="shared" si="62"/>
        <v>0</v>
      </c>
      <c r="P53" s="116">
        <f t="shared" si="62"/>
        <v>0</v>
      </c>
      <c r="Q53" s="116">
        <f t="shared" si="62"/>
        <v>0</v>
      </c>
      <c r="R53" s="116">
        <f t="shared" si="62"/>
        <v>0</v>
      </c>
      <c r="S53" s="116">
        <f t="shared" si="62"/>
        <v>0</v>
      </c>
      <c r="T53" s="116">
        <f t="shared" si="62"/>
        <v>0</v>
      </c>
      <c r="U53" s="116">
        <f t="shared" si="62"/>
        <v>0</v>
      </c>
      <c r="V53" s="116">
        <f t="shared" si="62"/>
        <v>0</v>
      </c>
      <c r="W53" s="116">
        <f t="shared" si="62"/>
        <v>0</v>
      </c>
      <c r="X53" s="116">
        <f t="shared" si="62"/>
        <v>0</v>
      </c>
      <c r="Y53" s="116">
        <f t="shared" si="62"/>
        <v>0</v>
      </c>
      <c r="Z53" s="116">
        <f t="shared" si="62"/>
        <v>0</v>
      </c>
      <c r="AA53" s="116">
        <f t="shared" si="62"/>
        <v>0</v>
      </c>
      <c r="AB53" s="116">
        <f t="shared" si="62"/>
        <v>0</v>
      </c>
      <c r="AC53" s="116">
        <f t="shared" si="62"/>
        <v>0</v>
      </c>
      <c r="AD53" s="116">
        <f t="shared" si="62"/>
        <v>0</v>
      </c>
      <c r="AE53" s="116">
        <f t="shared" si="62"/>
        <v>0</v>
      </c>
      <c r="AF53" s="116">
        <f t="shared" si="62"/>
        <v>0</v>
      </c>
      <c r="AG53" s="116">
        <f t="shared" si="62"/>
        <v>0</v>
      </c>
      <c r="AH53" s="116">
        <f t="shared" si="62"/>
        <v>0</v>
      </c>
      <c r="AI53" s="116">
        <f t="shared" si="62"/>
        <v>0</v>
      </c>
      <c r="AJ53" s="116">
        <f t="shared" si="62"/>
        <v>0</v>
      </c>
      <c r="AK53" s="116">
        <f t="shared" si="62"/>
        <v>0</v>
      </c>
    </row>
    <row r="54" spans="2:37">
      <c r="B54" s="111" t="s">
        <v>36</v>
      </c>
      <c r="H54" s="116">
        <f t="shared" ref="H54:AK54" si="63">H$33*$R19</f>
        <v>0</v>
      </c>
      <c r="I54" s="116">
        <f t="shared" si="63"/>
        <v>0</v>
      </c>
      <c r="J54" s="116">
        <f t="shared" si="63"/>
        <v>0</v>
      </c>
      <c r="K54" s="116">
        <f t="shared" si="63"/>
        <v>0</v>
      </c>
      <c r="L54" s="116">
        <f t="shared" si="63"/>
        <v>0</v>
      </c>
      <c r="M54" s="116">
        <f t="shared" si="63"/>
        <v>0</v>
      </c>
      <c r="N54" s="116">
        <f t="shared" si="63"/>
        <v>0</v>
      </c>
      <c r="O54" s="116">
        <f t="shared" si="63"/>
        <v>0</v>
      </c>
      <c r="P54" s="116">
        <f t="shared" si="63"/>
        <v>0</v>
      </c>
      <c r="Q54" s="116">
        <f t="shared" si="63"/>
        <v>0</v>
      </c>
      <c r="R54" s="116">
        <f t="shared" si="63"/>
        <v>0</v>
      </c>
      <c r="S54" s="116">
        <f t="shared" si="63"/>
        <v>0</v>
      </c>
      <c r="T54" s="116">
        <f t="shared" si="63"/>
        <v>0</v>
      </c>
      <c r="U54" s="116">
        <f t="shared" si="63"/>
        <v>0</v>
      </c>
      <c r="V54" s="116">
        <f t="shared" si="63"/>
        <v>0</v>
      </c>
      <c r="W54" s="116">
        <f t="shared" si="63"/>
        <v>0</v>
      </c>
      <c r="X54" s="116">
        <f t="shared" si="63"/>
        <v>0</v>
      </c>
      <c r="Y54" s="116">
        <f t="shared" si="63"/>
        <v>0</v>
      </c>
      <c r="Z54" s="116">
        <f t="shared" si="63"/>
        <v>0</v>
      </c>
      <c r="AA54" s="116">
        <f t="shared" si="63"/>
        <v>0</v>
      </c>
      <c r="AB54" s="116">
        <f t="shared" si="63"/>
        <v>0</v>
      </c>
      <c r="AC54" s="116">
        <f t="shared" si="63"/>
        <v>0</v>
      </c>
      <c r="AD54" s="116">
        <f t="shared" si="63"/>
        <v>0</v>
      </c>
      <c r="AE54" s="116">
        <f t="shared" si="63"/>
        <v>0</v>
      </c>
      <c r="AF54" s="116">
        <f t="shared" si="63"/>
        <v>0</v>
      </c>
      <c r="AG54" s="116">
        <f t="shared" si="63"/>
        <v>0</v>
      </c>
      <c r="AH54" s="116">
        <f t="shared" si="63"/>
        <v>0</v>
      </c>
      <c r="AI54" s="116">
        <f t="shared" si="63"/>
        <v>0</v>
      </c>
      <c r="AJ54" s="116">
        <f t="shared" si="63"/>
        <v>0</v>
      </c>
      <c r="AK54" s="116">
        <f t="shared" si="63"/>
        <v>0</v>
      </c>
    </row>
    <row r="55" spans="2:37">
      <c r="B55" s="111" t="s">
        <v>622</v>
      </c>
      <c r="H55" s="116">
        <f t="shared" ref="H55:AK55" si="64">H$33*$R20</f>
        <v>0</v>
      </c>
      <c r="I55" s="116">
        <f t="shared" si="64"/>
        <v>0</v>
      </c>
      <c r="J55" s="116">
        <f t="shared" si="64"/>
        <v>0</v>
      </c>
      <c r="K55" s="116">
        <f t="shared" si="64"/>
        <v>0</v>
      </c>
      <c r="L55" s="116">
        <f t="shared" si="64"/>
        <v>0</v>
      </c>
      <c r="M55" s="116">
        <f t="shared" si="64"/>
        <v>0</v>
      </c>
      <c r="N55" s="116">
        <f t="shared" si="64"/>
        <v>0</v>
      </c>
      <c r="O55" s="116">
        <f t="shared" si="64"/>
        <v>0</v>
      </c>
      <c r="P55" s="116">
        <f t="shared" si="64"/>
        <v>0</v>
      </c>
      <c r="Q55" s="116">
        <f t="shared" si="64"/>
        <v>0</v>
      </c>
      <c r="R55" s="116">
        <f t="shared" si="64"/>
        <v>0</v>
      </c>
      <c r="S55" s="116">
        <f t="shared" si="64"/>
        <v>0</v>
      </c>
      <c r="T55" s="116">
        <f t="shared" si="64"/>
        <v>0</v>
      </c>
      <c r="U55" s="116">
        <f t="shared" si="64"/>
        <v>0</v>
      </c>
      <c r="V55" s="116">
        <f t="shared" si="64"/>
        <v>0</v>
      </c>
      <c r="W55" s="116">
        <f t="shared" si="64"/>
        <v>0</v>
      </c>
      <c r="X55" s="116">
        <f t="shared" si="64"/>
        <v>0</v>
      </c>
      <c r="Y55" s="116">
        <f t="shared" si="64"/>
        <v>0</v>
      </c>
      <c r="Z55" s="116">
        <f t="shared" si="64"/>
        <v>0</v>
      </c>
      <c r="AA55" s="116">
        <f t="shared" si="64"/>
        <v>0</v>
      </c>
      <c r="AB55" s="116">
        <f t="shared" si="64"/>
        <v>0</v>
      </c>
      <c r="AC55" s="116">
        <f t="shared" si="64"/>
        <v>0</v>
      </c>
      <c r="AD55" s="116">
        <f t="shared" si="64"/>
        <v>0</v>
      </c>
      <c r="AE55" s="116">
        <f t="shared" si="64"/>
        <v>0</v>
      </c>
      <c r="AF55" s="116">
        <f t="shared" si="64"/>
        <v>0</v>
      </c>
      <c r="AG55" s="116">
        <f t="shared" si="64"/>
        <v>0</v>
      </c>
      <c r="AH55" s="116">
        <f t="shared" si="64"/>
        <v>0</v>
      </c>
      <c r="AI55" s="116">
        <f t="shared" si="64"/>
        <v>0</v>
      </c>
      <c r="AJ55" s="116">
        <f t="shared" si="64"/>
        <v>0</v>
      </c>
      <c r="AK55" s="116">
        <f t="shared" si="64"/>
        <v>0</v>
      </c>
    </row>
    <row r="56" spans="2:37">
      <c r="B56" s="120" t="s">
        <v>623</v>
      </c>
      <c r="C56" s="120"/>
      <c r="D56" s="120"/>
      <c r="E56" s="120"/>
      <c r="F56" s="120"/>
      <c r="G56" s="120"/>
      <c r="H56" s="121">
        <f>SUM(H50:H55)</f>
        <v>0</v>
      </c>
      <c r="I56" s="121">
        <f t="shared" ref="I56:R56" si="65">SUM(I50:I55)</f>
        <v>0</v>
      </c>
      <c r="J56" s="121">
        <f t="shared" si="65"/>
        <v>0</v>
      </c>
      <c r="K56" s="121">
        <f t="shared" si="65"/>
        <v>0</v>
      </c>
      <c r="L56" s="121">
        <f t="shared" si="65"/>
        <v>0</v>
      </c>
      <c r="M56" s="121">
        <f t="shared" si="65"/>
        <v>0</v>
      </c>
      <c r="N56" s="121">
        <f t="shared" si="65"/>
        <v>0</v>
      </c>
      <c r="O56" s="121">
        <f t="shared" si="65"/>
        <v>0</v>
      </c>
      <c r="P56" s="121">
        <f t="shared" si="65"/>
        <v>0</v>
      </c>
      <c r="Q56" s="121">
        <f t="shared" si="65"/>
        <v>0</v>
      </c>
      <c r="R56" s="121">
        <f t="shared" si="65"/>
        <v>0</v>
      </c>
      <c r="S56" s="121">
        <f t="shared" ref="S56:AK56" si="66">SUM(S50:S55)</f>
        <v>0</v>
      </c>
      <c r="T56" s="121">
        <f t="shared" si="66"/>
        <v>0</v>
      </c>
      <c r="U56" s="121">
        <f t="shared" si="66"/>
        <v>0</v>
      </c>
      <c r="V56" s="121">
        <f t="shared" si="66"/>
        <v>0</v>
      </c>
      <c r="W56" s="121">
        <f t="shared" si="66"/>
        <v>0</v>
      </c>
      <c r="X56" s="121">
        <f t="shared" si="66"/>
        <v>0</v>
      </c>
      <c r="Y56" s="121">
        <f t="shared" si="66"/>
        <v>0</v>
      </c>
      <c r="Z56" s="121">
        <f t="shared" si="66"/>
        <v>0</v>
      </c>
      <c r="AA56" s="121">
        <f t="shared" si="66"/>
        <v>0</v>
      </c>
      <c r="AB56" s="121">
        <f t="shared" si="66"/>
        <v>0</v>
      </c>
      <c r="AC56" s="121">
        <f t="shared" si="66"/>
        <v>0</v>
      </c>
      <c r="AD56" s="121">
        <f t="shared" si="66"/>
        <v>0</v>
      </c>
      <c r="AE56" s="121">
        <f t="shared" si="66"/>
        <v>0</v>
      </c>
      <c r="AF56" s="121">
        <f t="shared" si="66"/>
        <v>0</v>
      </c>
      <c r="AG56" s="121">
        <f t="shared" si="66"/>
        <v>0</v>
      </c>
      <c r="AH56" s="121">
        <f t="shared" si="66"/>
        <v>0</v>
      </c>
      <c r="AI56" s="121">
        <f t="shared" si="66"/>
        <v>0</v>
      </c>
      <c r="AJ56" s="121">
        <f t="shared" si="66"/>
        <v>0</v>
      </c>
      <c r="AK56" s="121">
        <f t="shared" si="66"/>
        <v>0</v>
      </c>
    </row>
    <row r="57" spans="2:37">
      <c r="B57" s="170"/>
    </row>
    <row r="58" spans="2:37">
      <c r="B58" s="111" t="s">
        <v>524</v>
      </c>
      <c r="H58" s="116">
        <f>H42-H47-H56</f>
        <v>0</v>
      </c>
      <c r="I58" s="116">
        <f t="shared" ref="I58:R58" si="67">I42-I47-I56</f>
        <v>0</v>
      </c>
      <c r="J58" s="116">
        <f t="shared" si="67"/>
        <v>0</v>
      </c>
      <c r="K58" s="116">
        <f t="shared" si="67"/>
        <v>0</v>
      </c>
      <c r="L58" s="116">
        <f t="shared" si="67"/>
        <v>0</v>
      </c>
      <c r="M58" s="116">
        <f t="shared" si="67"/>
        <v>0</v>
      </c>
      <c r="N58" s="116">
        <f t="shared" si="67"/>
        <v>0</v>
      </c>
      <c r="O58" s="116">
        <f t="shared" si="67"/>
        <v>0</v>
      </c>
      <c r="P58" s="116">
        <f t="shared" si="67"/>
        <v>0</v>
      </c>
      <c r="Q58" s="116">
        <f t="shared" si="67"/>
        <v>0</v>
      </c>
      <c r="R58" s="116">
        <f t="shared" si="67"/>
        <v>0</v>
      </c>
      <c r="S58" s="116">
        <f t="shared" ref="S58:AK58" si="68">S42-S47-S56</f>
        <v>0</v>
      </c>
      <c r="T58" s="116">
        <f t="shared" si="68"/>
        <v>0</v>
      </c>
      <c r="U58" s="116">
        <f t="shared" si="68"/>
        <v>0</v>
      </c>
      <c r="V58" s="116">
        <f t="shared" si="68"/>
        <v>0</v>
      </c>
      <c r="W58" s="116">
        <f t="shared" si="68"/>
        <v>0</v>
      </c>
      <c r="X58" s="116">
        <f t="shared" si="68"/>
        <v>0</v>
      </c>
      <c r="Y58" s="116">
        <f t="shared" si="68"/>
        <v>0</v>
      </c>
      <c r="Z58" s="116">
        <f t="shared" si="68"/>
        <v>0</v>
      </c>
      <c r="AA58" s="116">
        <f t="shared" si="68"/>
        <v>0</v>
      </c>
      <c r="AB58" s="116">
        <f t="shared" si="68"/>
        <v>0</v>
      </c>
      <c r="AC58" s="116">
        <f t="shared" si="68"/>
        <v>0</v>
      </c>
      <c r="AD58" s="116">
        <f t="shared" si="68"/>
        <v>0</v>
      </c>
      <c r="AE58" s="116">
        <f t="shared" si="68"/>
        <v>0</v>
      </c>
      <c r="AF58" s="116">
        <f t="shared" si="68"/>
        <v>0</v>
      </c>
      <c r="AG58" s="116">
        <f t="shared" si="68"/>
        <v>0</v>
      </c>
      <c r="AH58" s="116">
        <f t="shared" si="68"/>
        <v>0</v>
      </c>
      <c r="AI58" s="116">
        <f t="shared" si="68"/>
        <v>0</v>
      </c>
      <c r="AJ58" s="116">
        <f t="shared" si="68"/>
        <v>0</v>
      </c>
      <c r="AK58" s="116">
        <f t="shared" si="68"/>
        <v>0</v>
      </c>
    </row>
    <row r="61" spans="2:37">
      <c r="B61" s="111" t="s">
        <v>6</v>
      </c>
      <c r="G61" s="116">
        <f t="shared" ref="G61:R61" ca="1" si="69">IF(G29&lt;=$G$18+1,G30+G58,0)</f>
        <v>0</v>
      </c>
      <c r="H61" s="116">
        <f t="shared" si="69"/>
        <v>0</v>
      </c>
      <c r="I61" s="116">
        <f t="shared" si="69"/>
        <v>0</v>
      </c>
      <c r="J61" s="116">
        <f t="shared" si="69"/>
        <v>0</v>
      </c>
      <c r="K61" s="116">
        <f t="shared" si="69"/>
        <v>0</v>
      </c>
      <c r="L61" s="116">
        <f t="shared" si="69"/>
        <v>0</v>
      </c>
      <c r="M61" s="116">
        <f t="shared" si="69"/>
        <v>0</v>
      </c>
      <c r="N61" s="116">
        <f t="shared" si="69"/>
        <v>0</v>
      </c>
      <c r="O61" s="116">
        <f t="shared" si="69"/>
        <v>0</v>
      </c>
      <c r="P61" s="116">
        <f t="shared" si="69"/>
        <v>0</v>
      </c>
      <c r="Q61" s="116">
        <f t="shared" si="69"/>
        <v>0</v>
      </c>
      <c r="R61" s="116">
        <f t="shared" si="69"/>
        <v>0</v>
      </c>
      <c r="S61" s="116">
        <f t="shared" ref="S61:AK61" si="70">IF(S29&lt;=$G$18+1,S30+S58,0)</f>
        <v>0</v>
      </c>
      <c r="T61" s="116">
        <f t="shared" si="70"/>
        <v>0</v>
      </c>
      <c r="U61" s="116">
        <f t="shared" si="70"/>
        <v>0</v>
      </c>
      <c r="V61" s="116">
        <f t="shared" si="70"/>
        <v>0</v>
      </c>
      <c r="W61" s="116">
        <f t="shared" si="70"/>
        <v>0</v>
      </c>
      <c r="X61" s="116">
        <f t="shared" si="70"/>
        <v>0</v>
      </c>
      <c r="Y61" s="116">
        <f t="shared" si="70"/>
        <v>0</v>
      </c>
      <c r="Z61" s="116">
        <f t="shared" si="70"/>
        <v>0</v>
      </c>
      <c r="AA61" s="116">
        <f t="shared" si="70"/>
        <v>0</v>
      </c>
      <c r="AB61" s="116">
        <f t="shared" si="70"/>
        <v>0</v>
      </c>
      <c r="AC61" s="116">
        <f t="shared" si="70"/>
        <v>0</v>
      </c>
      <c r="AD61" s="116">
        <f t="shared" si="70"/>
        <v>0</v>
      </c>
      <c r="AE61" s="116">
        <f t="shared" si="70"/>
        <v>0</v>
      </c>
      <c r="AF61" s="116">
        <f t="shared" si="70"/>
        <v>0</v>
      </c>
      <c r="AG61" s="116">
        <f t="shared" si="70"/>
        <v>0</v>
      </c>
      <c r="AH61" s="116">
        <f t="shared" si="70"/>
        <v>0</v>
      </c>
      <c r="AI61" s="116">
        <f t="shared" si="70"/>
        <v>0</v>
      </c>
      <c r="AJ61" s="116">
        <f t="shared" si="70"/>
        <v>0</v>
      </c>
      <c r="AK61" s="116">
        <f t="shared" si="70"/>
        <v>0</v>
      </c>
    </row>
    <row r="62" spans="2:37"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</row>
    <row r="63" spans="2:37">
      <c r="B63" s="111" t="s">
        <v>525</v>
      </c>
      <c r="H63" s="116">
        <f t="shared" ref="H63:R63" si="71">IF(H29=$G$18,I61/$G$17,0)</f>
        <v>0</v>
      </c>
      <c r="I63" s="116">
        <f t="shared" si="71"/>
        <v>0</v>
      </c>
      <c r="J63" s="116">
        <f t="shared" si="71"/>
        <v>0</v>
      </c>
      <c r="K63" s="116">
        <f t="shared" si="71"/>
        <v>0</v>
      </c>
      <c r="L63" s="116">
        <f t="shared" si="71"/>
        <v>0</v>
      </c>
      <c r="M63" s="116">
        <f t="shared" si="71"/>
        <v>0</v>
      </c>
      <c r="N63" s="116">
        <f t="shared" si="71"/>
        <v>0</v>
      </c>
      <c r="O63" s="116">
        <f t="shared" si="71"/>
        <v>0</v>
      </c>
      <c r="P63" s="116">
        <f t="shared" si="71"/>
        <v>0</v>
      </c>
      <c r="Q63" s="116">
        <f t="shared" si="71"/>
        <v>0</v>
      </c>
      <c r="R63" s="116">
        <f t="shared" si="71"/>
        <v>0</v>
      </c>
      <c r="S63" s="116">
        <f t="shared" ref="S63:AK63" si="72">IF(S29=$G$18,T61/$G$17,0)</f>
        <v>0</v>
      </c>
      <c r="T63" s="116">
        <f t="shared" si="72"/>
        <v>0</v>
      </c>
      <c r="U63" s="116">
        <f t="shared" si="72"/>
        <v>0</v>
      </c>
      <c r="V63" s="116">
        <f t="shared" si="72"/>
        <v>0</v>
      </c>
      <c r="W63" s="116">
        <f t="shared" si="72"/>
        <v>0</v>
      </c>
      <c r="X63" s="116">
        <f t="shared" si="72"/>
        <v>0</v>
      </c>
      <c r="Y63" s="116">
        <f t="shared" si="72"/>
        <v>0</v>
      </c>
      <c r="Z63" s="116">
        <f t="shared" si="72"/>
        <v>0</v>
      </c>
      <c r="AA63" s="116">
        <f t="shared" si="72"/>
        <v>0</v>
      </c>
      <c r="AB63" s="116">
        <f t="shared" si="72"/>
        <v>0</v>
      </c>
      <c r="AC63" s="116">
        <f t="shared" si="72"/>
        <v>0</v>
      </c>
      <c r="AD63" s="116">
        <f t="shared" si="72"/>
        <v>0</v>
      </c>
      <c r="AE63" s="116">
        <f t="shared" si="72"/>
        <v>0</v>
      </c>
      <c r="AF63" s="116">
        <f t="shared" si="72"/>
        <v>0</v>
      </c>
      <c r="AG63" s="116">
        <f t="shared" si="72"/>
        <v>0</v>
      </c>
      <c r="AH63" s="116">
        <f t="shared" si="72"/>
        <v>0</v>
      </c>
      <c r="AI63" s="116">
        <f t="shared" si="72"/>
        <v>0</v>
      </c>
      <c r="AJ63" s="116">
        <f t="shared" si="72"/>
        <v>0</v>
      </c>
      <c r="AK63" s="116">
        <f t="shared" si="72"/>
        <v>0</v>
      </c>
    </row>
    <row r="64" spans="2:37">
      <c r="B64" s="111" t="s">
        <v>393</v>
      </c>
      <c r="H64" s="116">
        <f t="shared" ref="H64:R64" si="73">-H63*$G$19</f>
        <v>0</v>
      </c>
      <c r="I64" s="116">
        <f t="shared" si="73"/>
        <v>0</v>
      </c>
      <c r="J64" s="116">
        <f t="shared" si="73"/>
        <v>0</v>
      </c>
      <c r="K64" s="116">
        <f t="shared" si="73"/>
        <v>0</v>
      </c>
      <c r="L64" s="116">
        <f t="shared" si="73"/>
        <v>0</v>
      </c>
      <c r="M64" s="116">
        <f t="shared" si="73"/>
        <v>0</v>
      </c>
      <c r="N64" s="116">
        <f t="shared" si="73"/>
        <v>0</v>
      </c>
      <c r="O64" s="116">
        <f t="shared" si="73"/>
        <v>0</v>
      </c>
      <c r="P64" s="116">
        <f t="shared" si="73"/>
        <v>0</v>
      </c>
      <c r="Q64" s="116">
        <f t="shared" si="73"/>
        <v>0</v>
      </c>
      <c r="R64" s="116">
        <f t="shared" si="73"/>
        <v>0</v>
      </c>
      <c r="S64" s="116">
        <f t="shared" ref="S64" si="74">-S63*$G$19</f>
        <v>0</v>
      </c>
      <c r="T64" s="116">
        <f t="shared" ref="T64" si="75">-T63*$G$19</f>
        <v>0</v>
      </c>
      <c r="U64" s="116">
        <f t="shared" ref="U64" si="76">-U63*$G$19</f>
        <v>0</v>
      </c>
      <c r="V64" s="116">
        <f t="shared" ref="V64" si="77">-V63*$G$19</f>
        <v>0</v>
      </c>
      <c r="W64" s="116">
        <f t="shared" ref="W64" si="78">-W63*$G$19</f>
        <v>0</v>
      </c>
      <c r="X64" s="116">
        <f t="shared" ref="X64" si="79">-X63*$G$19</f>
        <v>0</v>
      </c>
      <c r="Y64" s="116">
        <f t="shared" ref="Y64" si="80">-Y63*$G$19</f>
        <v>0</v>
      </c>
      <c r="Z64" s="116">
        <f t="shared" ref="Z64" si="81">-Z63*$G$19</f>
        <v>0</v>
      </c>
      <c r="AA64" s="116">
        <f t="shared" ref="AA64" si="82">-AA63*$G$19</f>
        <v>0</v>
      </c>
      <c r="AB64" s="116">
        <f t="shared" ref="AB64" si="83">-AB63*$G$19</f>
        <v>0</v>
      </c>
      <c r="AC64" s="116">
        <f t="shared" ref="AC64" si="84">-AC63*$G$19</f>
        <v>0</v>
      </c>
      <c r="AD64" s="116">
        <f t="shared" ref="AD64" si="85">-AD63*$G$19</f>
        <v>0</v>
      </c>
      <c r="AE64" s="116">
        <f t="shared" ref="AE64" si="86">-AE63*$G$19</f>
        <v>0</v>
      </c>
      <c r="AF64" s="116">
        <f t="shared" ref="AF64" si="87">-AF63*$G$19</f>
        <v>0</v>
      </c>
      <c r="AG64" s="116">
        <f t="shared" ref="AG64" si="88">-AG63*$G$19</f>
        <v>0</v>
      </c>
      <c r="AH64" s="116">
        <f t="shared" ref="AH64" si="89">-AH63*$G$19</f>
        <v>0</v>
      </c>
      <c r="AI64" s="116">
        <f t="shared" ref="AI64" si="90">-AI63*$G$19</f>
        <v>0</v>
      </c>
      <c r="AJ64" s="116">
        <f t="shared" ref="AJ64" si="91">-AJ63*$G$19</f>
        <v>0</v>
      </c>
      <c r="AK64" s="116">
        <f t="shared" ref="AK64" si="92">-AK63*$G$19</f>
        <v>0</v>
      </c>
    </row>
    <row r="65" spans="2:37">
      <c r="B65" s="120" t="s">
        <v>526</v>
      </c>
      <c r="C65" s="120"/>
      <c r="D65" s="120"/>
      <c r="E65" s="120"/>
      <c r="F65" s="120"/>
      <c r="G65" s="121">
        <f ca="1">SUM(G61:G64)</f>
        <v>0</v>
      </c>
      <c r="H65" s="121">
        <f t="shared" ref="H65:R65" si="93">SUM(H61:H64)</f>
        <v>0</v>
      </c>
      <c r="I65" s="121">
        <f t="shared" si="93"/>
        <v>0</v>
      </c>
      <c r="J65" s="121">
        <f t="shared" si="93"/>
        <v>0</v>
      </c>
      <c r="K65" s="121">
        <f t="shared" si="93"/>
        <v>0</v>
      </c>
      <c r="L65" s="121">
        <f t="shared" si="93"/>
        <v>0</v>
      </c>
      <c r="M65" s="121">
        <f t="shared" si="93"/>
        <v>0</v>
      </c>
      <c r="N65" s="121">
        <f t="shared" si="93"/>
        <v>0</v>
      </c>
      <c r="O65" s="121">
        <f t="shared" si="93"/>
        <v>0</v>
      </c>
      <c r="P65" s="121">
        <f t="shared" si="93"/>
        <v>0</v>
      </c>
      <c r="Q65" s="121">
        <f t="shared" si="93"/>
        <v>0</v>
      </c>
      <c r="R65" s="121">
        <f t="shared" si="93"/>
        <v>0</v>
      </c>
      <c r="S65" s="121">
        <f t="shared" ref="S65:AK65" si="94">SUM(S61:S64)</f>
        <v>0</v>
      </c>
      <c r="T65" s="121">
        <f t="shared" si="94"/>
        <v>0</v>
      </c>
      <c r="U65" s="121">
        <f t="shared" si="94"/>
        <v>0</v>
      </c>
      <c r="V65" s="121">
        <f t="shared" si="94"/>
        <v>0</v>
      </c>
      <c r="W65" s="121">
        <f t="shared" si="94"/>
        <v>0</v>
      </c>
      <c r="X65" s="121">
        <f t="shared" si="94"/>
        <v>0</v>
      </c>
      <c r="Y65" s="121">
        <f t="shared" si="94"/>
        <v>0</v>
      </c>
      <c r="Z65" s="121">
        <f t="shared" si="94"/>
        <v>0</v>
      </c>
      <c r="AA65" s="121">
        <f t="shared" si="94"/>
        <v>0</v>
      </c>
      <c r="AB65" s="121">
        <f t="shared" si="94"/>
        <v>0</v>
      </c>
      <c r="AC65" s="121">
        <f t="shared" si="94"/>
        <v>0</v>
      </c>
      <c r="AD65" s="121">
        <f t="shared" si="94"/>
        <v>0</v>
      </c>
      <c r="AE65" s="121">
        <f t="shared" si="94"/>
        <v>0</v>
      </c>
      <c r="AF65" s="121">
        <f t="shared" si="94"/>
        <v>0</v>
      </c>
      <c r="AG65" s="121">
        <f t="shared" si="94"/>
        <v>0</v>
      </c>
      <c r="AH65" s="121">
        <f t="shared" si="94"/>
        <v>0</v>
      </c>
      <c r="AI65" s="121">
        <f t="shared" si="94"/>
        <v>0</v>
      </c>
      <c r="AJ65" s="121">
        <f t="shared" si="94"/>
        <v>0</v>
      </c>
      <c r="AK65" s="121">
        <f t="shared" si="94"/>
        <v>0</v>
      </c>
    </row>
    <row r="66" spans="2:37" ht="15" thickBot="1"/>
    <row r="67" spans="2:37">
      <c r="B67" s="132" t="s">
        <v>527</v>
      </c>
      <c r="C67" s="133"/>
      <c r="D67" s="133"/>
      <c r="E67" s="133"/>
      <c r="F67" s="133"/>
      <c r="G67" s="134">
        <f ca="1">SUM(G65:R65)</f>
        <v>0</v>
      </c>
    </row>
    <row r="68" spans="2:37">
      <c r="B68" s="135" t="s">
        <v>528</v>
      </c>
      <c r="G68" s="136">
        <f>NPV($L$15,H65:R65)</f>
        <v>0</v>
      </c>
    </row>
    <row r="69" spans="2:37">
      <c r="B69" s="135" t="s">
        <v>529</v>
      </c>
      <c r="G69" s="136">
        <f ca="1">G68+G65</f>
        <v>0</v>
      </c>
    </row>
    <row r="70" spans="2:37">
      <c r="B70" s="135" t="s">
        <v>530</v>
      </c>
      <c r="G70" s="137" t="e">
        <f ca="1">IRR(G65:R65)</f>
        <v>#NUM!</v>
      </c>
    </row>
    <row r="71" spans="2:37" ht="15" thickBot="1">
      <c r="B71" s="138" t="s">
        <v>531</v>
      </c>
      <c r="C71" s="139"/>
      <c r="D71" s="139"/>
      <c r="E71" s="139"/>
      <c r="F71" s="139"/>
      <c r="G71" s="140" t="e">
        <f ca="1">(G67/-G65)+1</f>
        <v>#DIV/0!</v>
      </c>
    </row>
    <row r="73" spans="2:37">
      <c r="B73" s="111" t="s">
        <v>532</v>
      </c>
      <c r="G73" s="116">
        <f ca="1">G26</f>
        <v>0</v>
      </c>
    </row>
    <row r="74" spans="2:37">
      <c r="B74" s="111" t="s">
        <v>533</v>
      </c>
      <c r="H74" s="116">
        <f t="shared" ref="H74:R74" si="95">IF(H29=$G$18,FV($G$24/12,H29*12,$G$27,$G$26),0)</f>
        <v>0</v>
      </c>
      <c r="I74" s="116">
        <f t="shared" si="95"/>
        <v>0</v>
      </c>
      <c r="J74" s="116">
        <f t="shared" si="95"/>
        <v>0</v>
      </c>
      <c r="K74" s="116">
        <f t="shared" si="95"/>
        <v>0</v>
      </c>
      <c r="L74" s="116">
        <f t="shared" si="95"/>
        <v>0</v>
      </c>
      <c r="M74" s="116">
        <f t="shared" si="95"/>
        <v>0</v>
      </c>
      <c r="N74" s="116">
        <f t="shared" si="95"/>
        <v>0</v>
      </c>
      <c r="O74" s="116">
        <f t="shared" si="95"/>
        <v>0</v>
      </c>
      <c r="P74" s="116">
        <f t="shared" si="95"/>
        <v>0</v>
      </c>
      <c r="Q74" s="116">
        <f t="shared" ca="1" si="95"/>
        <v>0</v>
      </c>
      <c r="R74" s="116">
        <f t="shared" si="95"/>
        <v>0</v>
      </c>
      <c r="S74" s="116">
        <f t="shared" ref="S74:AK74" si="96">IF(S29=$G$18,FV($G$24/12,S29*12,$G$27,$G$26),0)</f>
        <v>0</v>
      </c>
      <c r="T74" s="116">
        <f t="shared" si="96"/>
        <v>0</v>
      </c>
      <c r="U74" s="116">
        <f t="shared" si="96"/>
        <v>0</v>
      </c>
      <c r="V74" s="116">
        <f t="shared" si="96"/>
        <v>0</v>
      </c>
      <c r="W74" s="116">
        <f t="shared" si="96"/>
        <v>0</v>
      </c>
      <c r="X74" s="116">
        <f t="shared" si="96"/>
        <v>0</v>
      </c>
      <c r="Y74" s="116">
        <f t="shared" si="96"/>
        <v>0</v>
      </c>
      <c r="Z74" s="116">
        <f t="shared" si="96"/>
        <v>0</v>
      </c>
      <c r="AA74" s="116">
        <f t="shared" si="96"/>
        <v>0</v>
      </c>
      <c r="AB74" s="116">
        <f t="shared" si="96"/>
        <v>0</v>
      </c>
      <c r="AC74" s="116">
        <f t="shared" si="96"/>
        <v>0</v>
      </c>
      <c r="AD74" s="116">
        <f t="shared" si="96"/>
        <v>0</v>
      </c>
      <c r="AE74" s="116">
        <f t="shared" si="96"/>
        <v>0</v>
      </c>
      <c r="AF74" s="116">
        <f t="shared" si="96"/>
        <v>0</v>
      </c>
      <c r="AG74" s="116">
        <f t="shared" si="96"/>
        <v>0</v>
      </c>
      <c r="AH74" s="116">
        <f t="shared" si="96"/>
        <v>0</v>
      </c>
      <c r="AI74" s="116">
        <f t="shared" si="96"/>
        <v>0</v>
      </c>
      <c r="AJ74" s="116">
        <f t="shared" si="96"/>
        <v>0</v>
      </c>
      <c r="AK74" s="116">
        <f t="shared" si="96"/>
        <v>0</v>
      </c>
    </row>
    <row r="75" spans="2:37">
      <c r="B75" s="111" t="s">
        <v>534</v>
      </c>
      <c r="H75" s="116">
        <f t="shared" ref="H75:R75" ca="1" si="97">IF(H29&lt;=$G$18,$G$27*12,0)</f>
        <v>0</v>
      </c>
      <c r="I75" s="116">
        <f t="shared" ca="1" si="97"/>
        <v>0</v>
      </c>
      <c r="J75" s="116">
        <f t="shared" ca="1" si="97"/>
        <v>0</v>
      </c>
      <c r="K75" s="116">
        <f t="shared" ca="1" si="97"/>
        <v>0</v>
      </c>
      <c r="L75" s="116">
        <f t="shared" ca="1" si="97"/>
        <v>0</v>
      </c>
      <c r="M75" s="116">
        <f t="shared" ca="1" si="97"/>
        <v>0</v>
      </c>
      <c r="N75" s="116">
        <f t="shared" ca="1" si="97"/>
        <v>0</v>
      </c>
      <c r="O75" s="116">
        <f t="shared" ca="1" si="97"/>
        <v>0</v>
      </c>
      <c r="P75" s="116">
        <f t="shared" ca="1" si="97"/>
        <v>0</v>
      </c>
      <c r="Q75" s="116">
        <f t="shared" ca="1" si="97"/>
        <v>0</v>
      </c>
      <c r="R75" s="116">
        <f t="shared" si="97"/>
        <v>0</v>
      </c>
      <c r="S75" s="116">
        <f t="shared" ref="S75:AK75" si="98">IF(S29&lt;=$G$18,$G$27*12,0)</f>
        <v>0</v>
      </c>
      <c r="T75" s="116">
        <f t="shared" si="98"/>
        <v>0</v>
      </c>
      <c r="U75" s="116">
        <f t="shared" si="98"/>
        <v>0</v>
      </c>
      <c r="V75" s="116">
        <f t="shared" si="98"/>
        <v>0</v>
      </c>
      <c r="W75" s="116">
        <f t="shared" si="98"/>
        <v>0</v>
      </c>
      <c r="X75" s="116">
        <f t="shared" si="98"/>
        <v>0</v>
      </c>
      <c r="Y75" s="116">
        <f t="shared" si="98"/>
        <v>0</v>
      </c>
      <c r="Z75" s="116">
        <f t="shared" si="98"/>
        <v>0</v>
      </c>
      <c r="AA75" s="116">
        <f t="shared" si="98"/>
        <v>0</v>
      </c>
      <c r="AB75" s="116">
        <f t="shared" si="98"/>
        <v>0</v>
      </c>
      <c r="AC75" s="116">
        <f t="shared" si="98"/>
        <v>0</v>
      </c>
      <c r="AD75" s="116">
        <f t="shared" si="98"/>
        <v>0</v>
      </c>
      <c r="AE75" s="116">
        <f t="shared" si="98"/>
        <v>0</v>
      </c>
      <c r="AF75" s="116">
        <f t="shared" si="98"/>
        <v>0</v>
      </c>
      <c r="AG75" s="116">
        <f t="shared" si="98"/>
        <v>0</v>
      </c>
      <c r="AH75" s="116">
        <f t="shared" si="98"/>
        <v>0</v>
      </c>
      <c r="AI75" s="116">
        <f t="shared" si="98"/>
        <v>0</v>
      </c>
      <c r="AJ75" s="116">
        <f t="shared" si="98"/>
        <v>0</v>
      </c>
      <c r="AK75" s="116">
        <f t="shared" si="98"/>
        <v>0</v>
      </c>
    </row>
    <row r="77" spans="2:37">
      <c r="B77" s="111" t="s">
        <v>535</v>
      </c>
      <c r="G77" s="116">
        <f t="shared" ref="G77:R77" ca="1" si="99">IF(G29&lt;=$G$18,SUM(G65,G73:G75),0)</f>
        <v>0</v>
      </c>
      <c r="H77" s="116">
        <f t="shared" ca="1" si="99"/>
        <v>0</v>
      </c>
      <c r="I77" s="116">
        <f t="shared" ca="1" si="99"/>
        <v>0</v>
      </c>
      <c r="J77" s="116">
        <f t="shared" ca="1" si="99"/>
        <v>0</v>
      </c>
      <c r="K77" s="116">
        <f t="shared" ca="1" si="99"/>
        <v>0</v>
      </c>
      <c r="L77" s="116">
        <f t="shared" ca="1" si="99"/>
        <v>0</v>
      </c>
      <c r="M77" s="116">
        <f t="shared" ca="1" si="99"/>
        <v>0</v>
      </c>
      <c r="N77" s="116">
        <f t="shared" ca="1" si="99"/>
        <v>0</v>
      </c>
      <c r="O77" s="116">
        <f t="shared" ca="1" si="99"/>
        <v>0</v>
      </c>
      <c r="P77" s="116">
        <f t="shared" ca="1" si="99"/>
        <v>0</v>
      </c>
      <c r="Q77" s="116">
        <f t="shared" ca="1" si="99"/>
        <v>0</v>
      </c>
      <c r="R77" s="116">
        <f t="shared" si="99"/>
        <v>0</v>
      </c>
      <c r="S77" s="116">
        <f t="shared" ref="S77:AK77" si="100">IF(S29&lt;=$G$18,SUM(S65,S73:S75),0)</f>
        <v>0</v>
      </c>
      <c r="T77" s="116">
        <f t="shared" si="100"/>
        <v>0</v>
      </c>
      <c r="U77" s="116">
        <f t="shared" si="100"/>
        <v>0</v>
      </c>
      <c r="V77" s="116">
        <f t="shared" si="100"/>
        <v>0</v>
      </c>
      <c r="W77" s="116">
        <f t="shared" si="100"/>
        <v>0</v>
      </c>
      <c r="X77" s="116">
        <f t="shared" si="100"/>
        <v>0</v>
      </c>
      <c r="Y77" s="116">
        <f t="shared" si="100"/>
        <v>0</v>
      </c>
      <c r="Z77" s="116">
        <f t="shared" si="100"/>
        <v>0</v>
      </c>
      <c r="AA77" s="116">
        <f t="shared" si="100"/>
        <v>0</v>
      </c>
      <c r="AB77" s="116">
        <f t="shared" si="100"/>
        <v>0</v>
      </c>
      <c r="AC77" s="116">
        <f t="shared" si="100"/>
        <v>0</v>
      </c>
      <c r="AD77" s="116">
        <f t="shared" si="100"/>
        <v>0</v>
      </c>
      <c r="AE77" s="116">
        <f t="shared" si="100"/>
        <v>0</v>
      </c>
      <c r="AF77" s="116">
        <f t="shared" si="100"/>
        <v>0</v>
      </c>
      <c r="AG77" s="116">
        <f t="shared" si="100"/>
        <v>0</v>
      </c>
      <c r="AH77" s="116">
        <f t="shared" si="100"/>
        <v>0</v>
      </c>
      <c r="AI77" s="116">
        <f t="shared" si="100"/>
        <v>0</v>
      </c>
      <c r="AJ77" s="116">
        <f t="shared" si="100"/>
        <v>0</v>
      </c>
      <c r="AK77" s="116">
        <f t="shared" si="100"/>
        <v>0</v>
      </c>
    </row>
    <row r="78" spans="2:37" ht="15" thickBot="1"/>
    <row r="79" spans="2:37">
      <c r="B79" s="132" t="s">
        <v>527</v>
      </c>
      <c r="C79" s="133"/>
      <c r="D79" s="133"/>
      <c r="E79" s="133"/>
      <c r="F79" s="133"/>
      <c r="G79" s="134">
        <f ca="1">SUM(G77:R77)</f>
        <v>0</v>
      </c>
    </row>
    <row r="80" spans="2:37">
      <c r="B80" s="135" t="s">
        <v>528</v>
      </c>
      <c r="G80" s="136">
        <f ca="1">NPV($L$15,H77:R77)</f>
        <v>0</v>
      </c>
    </row>
    <row r="81" spans="1:37">
      <c r="B81" s="135" t="s">
        <v>529</v>
      </c>
      <c r="G81" s="136">
        <f ca="1">G80+G77</f>
        <v>0</v>
      </c>
    </row>
    <row r="82" spans="1:37">
      <c r="B82" s="135" t="s">
        <v>536</v>
      </c>
      <c r="G82" s="141" t="e">
        <f ca="1">IRR(G77:R77)</f>
        <v>#NUM!</v>
      </c>
    </row>
    <row r="83" spans="1:37" ht="15" thickBot="1">
      <c r="B83" s="138" t="s">
        <v>531</v>
      </c>
      <c r="C83" s="139"/>
      <c r="D83" s="139"/>
      <c r="E83" s="139"/>
      <c r="F83" s="139"/>
      <c r="G83" s="140" t="e">
        <f ca="1">(G79/-G77)+1</f>
        <v>#DIV/0!</v>
      </c>
    </row>
    <row r="85" spans="1:37">
      <c r="A85" s="111" t="s">
        <v>472</v>
      </c>
      <c r="B85" s="113" t="s">
        <v>588</v>
      </c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5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</row>
    <row r="86" spans="1:37">
      <c r="F86" s="112" t="s">
        <v>589</v>
      </c>
      <c r="G86" s="112"/>
      <c r="H86" s="112"/>
      <c r="I86" s="112"/>
      <c r="J86" s="112"/>
      <c r="P86" s="111"/>
    </row>
    <row r="87" spans="1:37">
      <c r="E87" s="143" t="e">
        <f ca="1">G82</f>
        <v>#NUM!</v>
      </c>
      <c r="F87" s="112">
        <v>3</v>
      </c>
      <c r="G87" s="112">
        <v>4</v>
      </c>
      <c r="H87" s="112">
        <v>5</v>
      </c>
      <c r="I87" s="112">
        <v>6</v>
      </c>
      <c r="J87" s="112">
        <v>7</v>
      </c>
      <c r="P87" s="111"/>
    </row>
    <row r="88" spans="1:37">
      <c r="C88" s="699" t="s">
        <v>390</v>
      </c>
      <c r="D88" s="699"/>
      <c r="E88" s="144">
        <v>0.05</v>
      </c>
      <c r="F88" s="145" t="e">
        <f t="dataTable" ref="F88:J92" dt2D="1" dtr="1" r1="G18" r2="G17" ca="1"/>
        <v>#NUM!</v>
      </c>
      <c r="G88" s="146" t="e">
        <v>#NUM!</v>
      </c>
      <c r="H88" s="146" t="e">
        <v>#NUM!</v>
      </c>
      <c r="I88" s="146" t="e">
        <v>#NUM!</v>
      </c>
      <c r="J88" s="147" t="e">
        <v>#NUM!</v>
      </c>
      <c r="P88" s="111"/>
    </row>
    <row r="89" spans="1:37">
      <c r="C89" s="699"/>
      <c r="D89" s="699"/>
      <c r="E89" s="144">
        <v>5.2499999999999998E-2</v>
      </c>
      <c r="F89" s="148" t="e">
        <v>#NUM!</v>
      </c>
      <c r="G89" s="145" t="e">
        <v>#NUM!</v>
      </c>
      <c r="H89" s="146" t="e">
        <v>#NUM!</v>
      </c>
      <c r="I89" s="147" t="e">
        <v>#NUM!</v>
      </c>
      <c r="J89" s="149" t="e">
        <v>#NUM!</v>
      </c>
      <c r="P89" s="111"/>
    </row>
    <row r="90" spans="1:37">
      <c r="C90" s="699"/>
      <c r="D90" s="699"/>
      <c r="E90" s="144">
        <v>5.5E-2</v>
      </c>
      <c r="F90" s="148" t="e">
        <v>#NUM!</v>
      </c>
      <c r="G90" s="148" t="e">
        <v>#NUM!</v>
      </c>
      <c r="H90" s="150" t="e">
        <v>#NUM!</v>
      </c>
      <c r="I90" s="149" t="e">
        <v>#NUM!</v>
      </c>
      <c r="J90" s="149" t="e">
        <v>#NUM!</v>
      </c>
      <c r="K90" s="128"/>
      <c r="P90" s="111"/>
    </row>
    <row r="91" spans="1:37">
      <c r="C91" s="699"/>
      <c r="D91" s="699"/>
      <c r="E91" s="144">
        <v>5.7500000000000002E-2</v>
      </c>
      <c r="F91" s="148" t="e">
        <v>#NUM!</v>
      </c>
      <c r="G91" s="151" t="e">
        <v>#NUM!</v>
      </c>
      <c r="H91" s="152" t="e">
        <v>#NUM!</v>
      </c>
      <c r="I91" s="153" t="e">
        <v>#NUM!</v>
      </c>
      <c r="J91" s="149" t="e">
        <v>#NUM!</v>
      </c>
      <c r="P91" s="111"/>
    </row>
    <row r="92" spans="1:37">
      <c r="C92" s="699"/>
      <c r="D92" s="699"/>
      <c r="E92" s="144">
        <v>0.06</v>
      </c>
      <c r="F92" s="151" t="e">
        <v>#NUM!</v>
      </c>
      <c r="G92" s="152" t="e">
        <v>#NUM!</v>
      </c>
      <c r="H92" s="152" t="e">
        <v>#NUM!</v>
      </c>
      <c r="I92" s="152" t="e">
        <v>#NUM!</v>
      </c>
      <c r="J92" s="153" t="e">
        <v>#NUM!</v>
      </c>
      <c r="P92" s="111"/>
    </row>
  </sheetData>
  <mergeCells count="1">
    <mergeCell ref="C88:D92"/>
  </mergeCells>
  <conditionalFormatting sqref="F88:J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Competition&amp;RTeam &amp;A 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AB32-38E6-4565-A661-FEDB943F673E}">
  <sheetPr>
    <tabColor rgb="FF002060"/>
  </sheetPr>
  <dimension ref="A2:AK99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12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P2" s="565"/>
    </row>
    <row r="3" spans="1:19">
      <c r="P3" s="565"/>
    </row>
    <row r="4" spans="1:19">
      <c r="P4" s="565"/>
    </row>
    <row r="5" spans="1:19">
      <c r="P5" s="565"/>
    </row>
    <row r="6" spans="1:19">
      <c r="P6" s="565"/>
    </row>
    <row r="7" spans="1:19">
      <c r="P7" s="565"/>
    </row>
    <row r="8" spans="1:19">
      <c r="B8" s="445" t="s">
        <v>762</v>
      </c>
      <c r="P8" s="420"/>
    </row>
    <row r="9" spans="1:19" ht="15.6">
      <c r="B9" s="446" t="s">
        <v>767</v>
      </c>
      <c r="P9" s="420"/>
    </row>
    <row r="11" spans="1:19">
      <c r="A11" s="111" t="s">
        <v>472</v>
      </c>
      <c r="B11" s="113" t="s">
        <v>473</v>
      </c>
      <c r="C11" s="113"/>
      <c r="D11" s="113"/>
      <c r="E11" s="113"/>
      <c r="F11" s="113"/>
      <c r="G11" s="113"/>
      <c r="H11" s="113"/>
      <c r="I11" s="114"/>
      <c r="J11" s="113" t="s">
        <v>555</v>
      </c>
      <c r="K11" s="113"/>
      <c r="L11" s="113"/>
      <c r="M11" s="113"/>
      <c r="N11" s="115" t="s">
        <v>556</v>
      </c>
      <c r="P11" s="113" t="s">
        <v>449</v>
      </c>
      <c r="Q11" s="113"/>
      <c r="R11" s="113"/>
    </row>
    <row r="12" spans="1:19">
      <c r="B12" s="111" t="s">
        <v>557</v>
      </c>
      <c r="G12" s="154">
        <f>'Area Matrix'!D22</f>
        <v>94314</v>
      </c>
      <c r="J12" s="111" t="s">
        <v>509</v>
      </c>
      <c r="M12" s="116">
        <f>G12*G18</f>
        <v>2884122.1199999996</v>
      </c>
      <c r="N12" s="117">
        <f>M12/G12</f>
        <v>30.579999999999995</v>
      </c>
      <c r="P12" s="111" t="s">
        <v>591</v>
      </c>
      <c r="R12" s="116">
        <f ca="1">SUM('Area Matrix'!D37,'Area Matrix'!H37,'Area Matrix'!L37,'Area Matrix'!P37,'Area Matrix'!T37)</f>
        <v>21485832.511752293</v>
      </c>
    </row>
    <row r="13" spans="1:19">
      <c r="B13" s="346" t="s">
        <v>692</v>
      </c>
      <c r="G13" s="347">
        <v>2500</v>
      </c>
      <c r="J13" s="111" t="s">
        <v>521</v>
      </c>
      <c r="M13" s="116">
        <f>-M12*G21</f>
        <v>-288412.212</v>
      </c>
      <c r="N13" s="112"/>
      <c r="P13" s="118" t="s">
        <v>507</v>
      </c>
      <c r="R13" s="157">
        <f ca="1">R12*G28</f>
        <v>0</v>
      </c>
    </row>
    <row r="14" spans="1:19">
      <c r="B14" s="346" t="s">
        <v>693</v>
      </c>
      <c r="G14" s="154">
        <f>G12/G13</f>
        <v>37.7256</v>
      </c>
      <c r="J14" s="120" t="s">
        <v>522</v>
      </c>
      <c r="K14" s="120"/>
      <c r="L14" s="120"/>
      <c r="M14" s="121">
        <f>M12+M13</f>
        <v>2595709.9079999998</v>
      </c>
      <c r="N14" s="122"/>
      <c r="P14" s="123" t="s">
        <v>453</v>
      </c>
      <c r="Q14" s="120"/>
      <c r="R14" s="121">
        <f ca="1">SUM(R12:R13)</f>
        <v>21485832.511752293</v>
      </c>
    </row>
    <row r="15" spans="1:19">
      <c r="N15" s="112"/>
      <c r="S15" s="119"/>
    </row>
    <row r="16" spans="1:19">
      <c r="B16" s="113" t="s">
        <v>558</v>
      </c>
      <c r="C16" s="113"/>
      <c r="D16" s="113"/>
      <c r="E16" s="113"/>
      <c r="F16" s="113"/>
      <c r="G16" s="113"/>
      <c r="H16" s="113"/>
      <c r="I16" s="114"/>
      <c r="J16" s="126" t="s">
        <v>11</v>
      </c>
      <c r="N16" s="112"/>
      <c r="P16" s="113" t="s">
        <v>499</v>
      </c>
      <c r="Q16" s="113"/>
      <c r="R16" s="113"/>
      <c r="S16" s="124"/>
    </row>
    <row r="17" spans="2:18">
      <c r="B17" s="111" t="s">
        <v>559</v>
      </c>
      <c r="G17" s="125">
        <v>15</v>
      </c>
      <c r="H17" s="111" t="s">
        <v>560</v>
      </c>
      <c r="J17" s="111" t="s">
        <v>565</v>
      </c>
      <c r="M17" s="116">
        <f>N17*$G$12</f>
        <v>141471</v>
      </c>
      <c r="N17" s="575">
        <v>1.5</v>
      </c>
      <c r="P17" s="118" t="s">
        <v>478</v>
      </c>
      <c r="R17" s="116">
        <f ca="1">G34</f>
        <v>15040082.758226603</v>
      </c>
    </row>
    <row r="18" spans="2:18">
      <c r="B18" s="111" t="s">
        <v>561</v>
      </c>
      <c r="G18" s="577">
        <v>30.58</v>
      </c>
      <c r="H18" s="111" t="s">
        <v>562</v>
      </c>
      <c r="J18" s="111" t="s">
        <v>567</v>
      </c>
      <c r="M18" s="116">
        <f>N18*$G$12</f>
        <v>141471</v>
      </c>
      <c r="N18" s="575">
        <v>1.5</v>
      </c>
      <c r="P18" s="118" t="s">
        <v>28</v>
      </c>
      <c r="R18" s="116">
        <f ca="1">R19-R17</f>
        <v>6445749.7535256892</v>
      </c>
    </row>
    <row r="19" spans="2:18">
      <c r="B19" s="111" t="s">
        <v>563</v>
      </c>
      <c r="G19" s="578">
        <v>0.03</v>
      </c>
      <c r="H19" s="111" t="s">
        <v>564</v>
      </c>
      <c r="J19" s="111" t="s">
        <v>36</v>
      </c>
      <c r="M19" s="116">
        <f>N19*$G$12</f>
        <v>188628</v>
      </c>
      <c r="N19" s="575">
        <v>2</v>
      </c>
      <c r="P19" s="123" t="s">
        <v>458</v>
      </c>
      <c r="Q19" s="120"/>
      <c r="R19" s="121">
        <f ca="1">R14</f>
        <v>21485832.511752293</v>
      </c>
    </row>
    <row r="20" spans="2:18">
      <c r="B20" s="111" t="s">
        <v>566</v>
      </c>
      <c r="G20" s="578">
        <v>0.02</v>
      </c>
      <c r="J20" s="411" t="s">
        <v>728</v>
      </c>
      <c r="M20" s="116">
        <f>N20*$M$12</f>
        <v>115364.88479999999</v>
      </c>
      <c r="N20" s="412">
        <f>Taxes!$H$13</f>
        <v>0.04</v>
      </c>
    </row>
    <row r="21" spans="2:18">
      <c r="B21" s="111" t="s">
        <v>568</v>
      </c>
      <c r="G21" s="578">
        <v>0.1</v>
      </c>
      <c r="H21" s="111" t="s">
        <v>590</v>
      </c>
      <c r="J21" s="111" t="s">
        <v>571</v>
      </c>
      <c r="M21" s="116">
        <f>N21*$M$12</f>
        <v>86523.663599999985</v>
      </c>
      <c r="N21" s="576">
        <v>0.03</v>
      </c>
      <c r="P21" s="111" t="s">
        <v>394</v>
      </c>
      <c r="R21" s="127">
        <v>0.08</v>
      </c>
    </row>
    <row r="22" spans="2:18">
      <c r="B22" s="111" t="s">
        <v>569</v>
      </c>
      <c r="G22" s="577">
        <v>15</v>
      </c>
      <c r="H22" s="111" t="s">
        <v>570</v>
      </c>
      <c r="J22" s="120" t="s">
        <v>414</v>
      </c>
      <c r="K22" s="120"/>
      <c r="L22" s="120"/>
      <c r="M22" s="121">
        <f>SUM(M17:M21)</f>
        <v>673458.54839999997</v>
      </c>
      <c r="N22" s="656">
        <v>4</v>
      </c>
      <c r="P22" s="111"/>
    </row>
    <row r="23" spans="2:18">
      <c r="B23" s="111" t="s">
        <v>572</v>
      </c>
      <c r="G23" s="578">
        <v>0.06</v>
      </c>
      <c r="N23" s="112"/>
      <c r="P23" s="111"/>
    </row>
    <row r="24" spans="2:18">
      <c r="B24" s="111" t="s">
        <v>389</v>
      </c>
      <c r="G24" s="579">
        <v>5.3999999999999999E-2</v>
      </c>
      <c r="J24" s="111" t="s">
        <v>575</v>
      </c>
      <c r="M24" s="116">
        <f>M14-M22</f>
        <v>1922251.3595999999</v>
      </c>
      <c r="N24" s="112"/>
    </row>
    <row r="25" spans="2:18">
      <c r="B25" s="111" t="s">
        <v>390</v>
      </c>
      <c r="G25" s="579">
        <v>0.05</v>
      </c>
    </row>
    <row r="26" spans="2:18">
      <c r="B26" s="111" t="s">
        <v>573</v>
      </c>
      <c r="G26" s="580">
        <v>0</v>
      </c>
      <c r="H26" s="111" t="s">
        <v>574</v>
      </c>
      <c r="N26" s="112"/>
    </row>
    <row r="27" spans="2:18">
      <c r="B27" s="111" t="s">
        <v>391</v>
      </c>
      <c r="G27" s="156">
        <v>10</v>
      </c>
      <c r="H27" s="111" t="s">
        <v>560</v>
      </c>
      <c r="M27" s="116"/>
      <c r="N27" s="112"/>
    </row>
    <row r="28" spans="2:18">
      <c r="B28" s="111" t="s">
        <v>393</v>
      </c>
      <c r="G28" s="578">
        <v>0</v>
      </c>
      <c r="J28" s="128"/>
      <c r="M28" s="116"/>
      <c r="N28" s="112"/>
    </row>
    <row r="29" spans="2:18">
      <c r="J29" s="128"/>
      <c r="N29" s="112"/>
    </row>
    <row r="30" spans="2:18">
      <c r="B30" s="113" t="s">
        <v>576</v>
      </c>
      <c r="C30" s="113"/>
      <c r="D30" s="113"/>
      <c r="E30" s="113"/>
      <c r="F30" s="113"/>
      <c r="G30" s="113"/>
      <c r="H30" s="113"/>
      <c r="I30" s="114"/>
      <c r="N30" s="112"/>
    </row>
    <row r="31" spans="2:18">
      <c r="B31" s="111" t="s">
        <v>577</v>
      </c>
      <c r="G31" s="127">
        <v>0.7</v>
      </c>
      <c r="H31" s="111" t="s">
        <v>578</v>
      </c>
      <c r="J31" s="124"/>
      <c r="N31" s="112"/>
    </row>
    <row r="32" spans="2:18">
      <c r="B32" s="111" t="s">
        <v>460</v>
      </c>
      <c r="G32" s="127">
        <v>0.05</v>
      </c>
      <c r="J32" s="124"/>
    </row>
    <row r="33" spans="1:37">
      <c r="B33" s="111" t="s">
        <v>540</v>
      </c>
      <c r="G33" s="111">
        <v>30</v>
      </c>
      <c r="H33" s="111" t="s">
        <v>579</v>
      </c>
    </row>
    <row r="34" spans="1:37">
      <c r="B34" s="111" t="s">
        <v>580</v>
      </c>
      <c r="G34" s="116">
        <f ca="1">G31*R14</f>
        <v>15040082.758226603</v>
      </c>
    </row>
    <row r="35" spans="1:37">
      <c r="B35" s="111" t="s">
        <v>581</v>
      </c>
      <c r="G35" s="116">
        <f ca="1">PMT(G32/12,G33*12,G34)</f>
        <v>-80738.41636508095</v>
      </c>
    </row>
    <row r="37" spans="1:37">
      <c r="A37" s="111" t="s">
        <v>472</v>
      </c>
      <c r="B37" s="113" t="s">
        <v>513</v>
      </c>
      <c r="C37" s="113"/>
      <c r="D37" s="113"/>
      <c r="E37" s="113"/>
      <c r="F37" s="113"/>
      <c r="G37" s="129">
        <v>0</v>
      </c>
      <c r="H37" s="129">
        <f>G37+1</f>
        <v>1</v>
      </c>
      <c r="I37" s="129">
        <f t="shared" ref="I37:R37" si="0">H37+1</f>
        <v>2</v>
      </c>
      <c r="J37" s="129">
        <f t="shared" si="0"/>
        <v>3</v>
      </c>
      <c r="K37" s="129">
        <f t="shared" si="0"/>
        <v>4</v>
      </c>
      <c r="L37" s="129">
        <f t="shared" si="0"/>
        <v>5</v>
      </c>
      <c r="M37" s="129">
        <f t="shared" si="0"/>
        <v>6</v>
      </c>
      <c r="N37" s="129">
        <f t="shared" si="0"/>
        <v>7</v>
      </c>
      <c r="O37" s="129">
        <f t="shared" si="0"/>
        <v>8</v>
      </c>
      <c r="P37" s="129">
        <f t="shared" si="0"/>
        <v>9</v>
      </c>
      <c r="Q37" s="129">
        <f t="shared" si="0"/>
        <v>10</v>
      </c>
      <c r="R37" s="129">
        <f t="shared" si="0"/>
        <v>11</v>
      </c>
      <c r="S37" s="129">
        <f t="shared" ref="S37" si="1">R37+1</f>
        <v>12</v>
      </c>
      <c r="T37" s="129">
        <f t="shared" ref="T37" si="2">S37+1</f>
        <v>13</v>
      </c>
      <c r="U37" s="129">
        <f t="shared" ref="U37" si="3">T37+1</f>
        <v>14</v>
      </c>
      <c r="V37" s="129">
        <f t="shared" ref="V37" si="4">U37+1</f>
        <v>15</v>
      </c>
      <c r="W37" s="129">
        <f t="shared" ref="W37" si="5">V37+1</f>
        <v>16</v>
      </c>
      <c r="X37" s="129">
        <f t="shared" ref="X37" si="6">W37+1</f>
        <v>17</v>
      </c>
      <c r="Y37" s="129">
        <f t="shared" ref="Y37" si="7">X37+1</f>
        <v>18</v>
      </c>
      <c r="Z37" s="129">
        <f t="shared" ref="Z37" si="8">Y37+1</f>
        <v>19</v>
      </c>
      <c r="AA37" s="129">
        <f t="shared" ref="AA37" si="9">Z37+1</f>
        <v>20</v>
      </c>
      <c r="AB37" s="129">
        <f t="shared" ref="AB37" si="10">AA37+1</f>
        <v>21</v>
      </c>
      <c r="AC37" s="129">
        <f t="shared" ref="AC37" si="11">AB37+1</f>
        <v>22</v>
      </c>
      <c r="AD37" s="129">
        <f t="shared" ref="AD37" si="12">AC37+1</f>
        <v>23</v>
      </c>
      <c r="AE37" s="129">
        <f t="shared" ref="AE37" si="13">AD37+1</f>
        <v>24</v>
      </c>
      <c r="AF37" s="129">
        <f t="shared" ref="AF37" si="14">AE37+1</f>
        <v>25</v>
      </c>
      <c r="AG37" s="129">
        <f t="shared" ref="AG37" si="15">AF37+1</f>
        <v>26</v>
      </c>
      <c r="AH37" s="129">
        <f t="shared" ref="AH37" si="16">AG37+1</f>
        <v>27</v>
      </c>
      <c r="AI37" s="129">
        <f t="shared" ref="AI37" si="17">AH37+1</f>
        <v>28</v>
      </c>
      <c r="AJ37" s="129">
        <f t="shared" ref="AJ37" si="18">AI37+1</f>
        <v>29</v>
      </c>
      <c r="AK37" s="129">
        <f t="shared" ref="AK37" si="19">AJ37+1</f>
        <v>30</v>
      </c>
    </row>
    <row r="38" spans="1:37">
      <c r="B38" s="111" t="s">
        <v>412</v>
      </c>
      <c r="H38" s="130">
        <f t="shared" ref="H38:AK38" si="20">1-$G$21</f>
        <v>0.9</v>
      </c>
      <c r="I38" s="130">
        <f t="shared" si="20"/>
        <v>0.9</v>
      </c>
      <c r="J38" s="130">
        <f t="shared" si="20"/>
        <v>0.9</v>
      </c>
      <c r="K38" s="130">
        <f t="shared" si="20"/>
        <v>0.9</v>
      </c>
      <c r="L38" s="130">
        <f t="shared" si="20"/>
        <v>0.9</v>
      </c>
      <c r="M38" s="130">
        <f t="shared" si="20"/>
        <v>0.9</v>
      </c>
      <c r="N38" s="130">
        <f t="shared" si="20"/>
        <v>0.9</v>
      </c>
      <c r="O38" s="130">
        <f t="shared" si="20"/>
        <v>0.9</v>
      </c>
      <c r="P38" s="130">
        <f t="shared" si="20"/>
        <v>0.9</v>
      </c>
      <c r="Q38" s="130">
        <f t="shared" si="20"/>
        <v>0.9</v>
      </c>
      <c r="R38" s="130">
        <f t="shared" si="20"/>
        <v>0.9</v>
      </c>
      <c r="S38" s="130">
        <f t="shared" si="20"/>
        <v>0.9</v>
      </c>
      <c r="T38" s="130">
        <f t="shared" si="20"/>
        <v>0.9</v>
      </c>
      <c r="U38" s="130">
        <f t="shared" si="20"/>
        <v>0.9</v>
      </c>
      <c r="V38" s="130">
        <f t="shared" si="20"/>
        <v>0.9</v>
      </c>
      <c r="W38" s="130">
        <f t="shared" si="20"/>
        <v>0.9</v>
      </c>
      <c r="X38" s="130">
        <f t="shared" si="20"/>
        <v>0.9</v>
      </c>
      <c r="Y38" s="130">
        <f t="shared" si="20"/>
        <v>0.9</v>
      </c>
      <c r="Z38" s="130">
        <f t="shared" si="20"/>
        <v>0.9</v>
      </c>
      <c r="AA38" s="130">
        <f t="shared" si="20"/>
        <v>0.9</v>
      </c>
      <c r="AB38" s="130">
        <f t="shared" si="20"/>
        <v>0.9</v>
      </c>
      <c r="AC38" s="130">
        <f t="shared" si="20"/>
        <v>0.9</v>
      </c>
      <c r="AD38" s="130">
        <f t="shared" si="20"/>
        <v>0.9</v>
      </c>
      <c r="AE38" s="130">
        <f t="shared" si="20"/>
        <v>0.9</v>
      </c>
      <c r="AF38" s="130">
        <f t="shared" si="20"/>
        <v>0.9</v>
      </c>
      <c r="AG38" s="130">
        <f t="shared" si="20"/>
        <v>0.9</v>
      </c>
      <c r="AH38" s="130">
        <f t="shared" si="20"/>
        <v>0.9</v>
      </c>
      <c r="AI38" s="130">
        <f t="shared" si="20"/>
        <v>0.9</v>
      </c>
      <c r="AJ38" s="130">
        <f t="shared" si="20"/>
        <v>0.9</v>
      </c>
      <c r="AK38" s="130">
        <f t="shared" si="20"/>
        <v>0.9</v>
      </c>
    </row>
    <row r="40" spans="1:37">
      <c r="B40" s="111" t="s">
        <v>595</v>
      </c>
      <c r="G40" s="116">
        <f ca="1">-R14</f>
        <v>-21485832.511752293</v>
      </c>
    </row>
    <row r="41" spans="1:37">
      <c r="I41" s="131"/>
    </row>
    <row r="42" spans="1:37">
      <c r="B42" s="111" t="s">
        <v>509</v>
      </c>
      <c r="H42" s="116">
        <f t="shared" ref="H42:R42" si="21">$M$12*(1+$G$19)^G37</f>
        <v>2884122.1199999996</v>
      </c>
      <c r="I42" s="116">
        <f t="shared" si="21"/>
        <v>2970645.7835999997</v>
      </c>
      <c r="J42" s="116">
        <f t="shared" si="21"/>
        <v>3059765.1571079995</v>
      </c>
      <c r="K42" s="116">
        <f t="shared" si="21"/>
        <v>3151558.1118212398</v>
      </c>
      <c r="L42" s="116">
        <f t="shared" si="21"/>
        <v>3246104.8551758765</v>
      </c>
      <c r="M42" s="116">
        <f t="shared" si="21"/>
        <v>3343488.0008311528</v>
      </c>
      <c r="N42" s="116">
        <f t="shared" si="21"/>
        <v>3443792.6408560877</v>
      </c>
      <c r="O42" s="116">
        <f t="shared" si="21"/>
        <v>3547106.4200817705</v>
      </c>
      <c r="P42" s="116">
        <f t="shared" si="21"/>
        <v>3653519.6126842229</v>
      </c>
      <c r="Q42" s="116">
        <f t="shared" si="21"/>
        <v>3763125.2010647496</v>
      </c>
      <c r="R42" s="116">
        <f t="shared" si="21"/>
        <v>3876018.9570966922</v>
      </c>
      <c r="S42" s="116">
        <f t="shared" ref="S42" si="22">$M$12*(1+$G$19)^R37</f>
        <v>3992299.525809593</v>
      </c>
      <c r="T42" s="116">
        <f t="shared" ref="T42" si="23">$M$12*(1+$G$19)^S37</f>
        <v>4112068.5115838805</v>
      </c>
      <c r="U42" s="116">
        <f t="shared" ref="U42" si="24">$M$12*(1+$G$19)^T37</f>
        <v>4235430.5669313967</v>
      </c>
      <c r="V42" s="116">
        <f t="shared" ref="V42" si="25">$M$12*(1+$G$19)^U37</f>
        <v>4362493.4839393385</v>
      </c>
      <c r="W42" s="116">
        <f t="shared" ref="W42" si="26">$M$12*(1+$G$19)^V37</f>
        <v>4493368.2884575194</v>
      </c>
      <c r="X42" s="116">
        <f t="shared" ref="X42" si="27">$M$12*(1+$G$19)^W37</f>
        <v>4628169.337111244</v>
      </c>
      <c r="Y42" s="116">
        <f t="shared" ref="Y42" si="28">$M$12*(1+$G$19)^X37</f>
        <v>4767014.4172245814</v>
      </c>
      <c r="Z42" s="116">
        <f t="shared" ref="Z42" si="29">$M$12*(1+$G$19)^Y37</f>
        <v>4910024.8497413192</v>
      </c>
      <c r="AA42" s="116">
        <f t="shared" ref="AA42" si="30">$M$12*(1+$G$19)^Z37</f>
        <v>5057325.5952335587</v>
      </c>
      <c r="AB42" s="116">
        <f t="shared" ref="AB42" si="31">$M$12*(1+$G$19)^AA37</f>
        <v>5209045.3630905654</v>
      </c>
      <c r="AC42" s="116">
        <f t="shared" ref="AC42" si="32">$M$12*(1+$G$19)^AB37</f>
        <v>5365316.7239832813</v>
      </c>
      <c r="AD42" s="116">
        <f t="shared" ref="AD42" si="33">$M$12*(1+$G$19)^AC37</f>
        <v>5526276.2257027803</v>
      </c>
      <c r="AE42" s="116">
        <f t="shared" ref="AE42" si="34">$M$12*(1+$G$19)^AD37</f>
        <v>5692064.5124738635</v>
      </c>
      <c r="AF42" s="116">
        <f t="shared" ref="AF42" si="35">$M$12*(1+$G$19)^AE37</f>
        <v>5862826.4478480788</v>
      </c>
      <c r="AG42" s="116">
        <f t="shared" ref="AG42" si="36">$M$12*(1+$G$19)^AF37</f>
        <v>6038711.2412835211</v>
      </c>
      <c r="AH42" s="116">
        <f t="shared" ref="AH42" si="37">$M$12*(1+$G$19)^AG37</f>
        <v>6219872.5785220275</v>
      </c>
      <c r="AI42" s="116">
        <f t="shared" ref="AI42" si="38">$M$12*(1+$G$19)^AH37</f>
        <v>6406468.7558776876</v>
      </c>
      <c r="AJ42" s="116">
        <f t="shared" ref="AJ42" si="39">$M$12*(1+$G$19)^AI37</f>
        <v>6598662.8185540186</v>
      </c>
      <c r="AK42" s="116">
        <f t="shared" ref="AK42" si="40">$M$12*(1+$G$19)^AJ37</f>
        <v>6796622.7031106381</v>
      </c>
    </row>
    <row r="43" spans="1:37">
      <c r="C43" s="111" t="s">
        <v>521</v>
      </c>
      <c r="H43" s="116">
        <f>-(1-H38)*H42</f>
        <v>-288412.21199999988</v>
      </c>
      <c r="I43" s="116">
        <f t="shared" ref="I43:R43" si="41">-(1-I38)*I42</f>
        <v>-297064.57835999993</v>
      </c>
      <c r="J43" s="116">
        <f t="shared" si="41"/>
        <v>-305976.5157107999</v>
      </c>
      <c r="K43" s="116">
        <f t="shared" si="41"/>
        <v>-315155.8111821239</v>
      </c>
      <c r="L43" s="116">
        <f t="shared" si="41"/>
        <v>-324610.48551758757</v>
      </c>
      <c r="M43" s="116">
        <f t="shared" si="41"/>
        <v>-334348.80008311523</v>
      </c>
      <c r="N43" s="116">
        <f t="shared" si="41"/>
        <v>-344379.26408560871</v>
      </c>
      <c r="O43" s="116">
        <f t="shared" si="41"/>
        <v>-354710.64200817695</v>
      </c>
      <c r="P43" s="116">
        <f t="shared" si="41"/>
        <v>-365351.96126842219</v>
      </c>
      <c r="Q43" s="116">
        <f t="shared" si="41"/>
        <v>-376312.52010647487</v>
      </c>
      <c r="R43" s="116">
        <f t="shared" si="41"/>
        <v>-387601.89570966916</v>
      </c>
      <c r="S43" s="116">
        <f t="shared" ref="S43:AK43" si="42">-(1-S38)*S42</f>
        <v>-399229.95258095919</v>
      </c>
      <c r="T43" s="116">
        <f t="shared" si="42"/>
        <v>-411206.85115838796</v>
      </c>
      <c r="U43" s="116">
        <f t="shared" si="42"/>
        <v>-423543.0566931396</v>
      </c>
      <c r="V43" s="116">
        <f t="shared" si="42"/>
        <v>-436249.34839393373</v>
      </c>
      <c r="W43" s="116">
        <f t="shared" si="42"/>
        <v>-449336.82884575182</v>
      </c>
      <c r="X43" s="116">
        <f t="shared" si="42"/>
        <v>-462816.93371112429</v>
      </c>
      <c r="Y43" s="116">
        <f t="shared" si="42"/>
        <v>-476701.44172245805</v>
      </c>
      <c r="Z43" s="116">
        <f t="shared" si="42"/>
        <v>-491002.4849741318</v>
      </c>
      <c r="AA43" s="116">
        <f t="shared" si="42"/>
        <v>-505732.55952335574</v>
      </c>
      <c r="AB43" s="116">
        <f t="shared" si="42"/>
        <v>-520904.53630905645</v>
      </c>
      <c r="AC43" s="116">
        <f t="shared" si="42"/>
        <v>-536531.67239832797</v>
      </c>
      <c r="AD43" s="116">
        <f t="shared" si="42"/>
        <v>-552627.62257027789</v>
      </c>
      <c r="AE43" s="116">
        <f t="shared" si="42"/>
        <v>-569206.45124738629</v>
      </c>
      <c r="AF43" s="116">
        <f t="shared" si="42"/>
        <v>-586282.64478480769</v>
      </c>
      <c r="AG43" s="116">
        <f t="shared" si="42"/>
        <v>-603871.12412835192</v>
      </c>
      <c r="AH43" s="116">
        <f t="shared" si="42"/>
        <v>-621987.25785220263</v>
      </c>
      <c r="AI43" s="116">
        <f t="shared" si="42"/>
        <v>-640646.87558776862</v>
      </c>
      <c r="AJ43" s="116">
        <f t="shared" si="42"/>
        <v>-659866.2818554017</v>
      </c>
      <c r="AK43" s="116">
        <f t="shared" si="42"/>
        <v>-679662.27031106362</v>
      </c>
    </row>
    <row r="44" spans="1:37">
      <c r="C44" s="111" t="s">
        <v>573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>
        <v>0</v>
      </c>
      <c r="AC44" s="116">
        <v>0</v>
      </c>
      <c r="AD44" s="116"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</row>
    <row r="45" spans="1:37">
      <c r="B45" s="120" t="s">
        <v>522</v>
      </c>
      <c r="C45" s="120"/>
      <c r="D45" s="120"/>
      <c r="E45" s="120"/>
      <c r="F45" s="120"/>
      <c r="G45" s="120"/>
      <c r="H45" s="121">
        <f>SUM(H42:H44)</f>
        <v>2595709.9079999998</v>
      </c>
      <c r="I45" s="121">
        <f t="shared" ref="I45:R45" si="43">SUM(I42:I44)</f>
        <v>2673581.20524</v>
      </c>
      <c r="J45" s="121">
        <f t="shared" si="43"/>
        <v>2753788.6413971996</v>
      </c>
      <c r="K45" s="121">
        <f t="shared" si="43"/>
        <v>2836402.3006391157</v>
      </c>
      <c r="L45" s="121">
        <f t="shared" si="43"/>
        <v>2921494.369658289</v>
      </c>
      <c r="M45" s="121">
        <f t="shared" si="43"/>
        <v>3009139.2007480375</v>
      </c>
      <c r="N45" s="121">
        <f t="shared" si="43"/>
        <v>3099413.3767704791</v>
      </c>
      <c r="O45" s="121">
        <f t="shared" si="43"/>
        <v>3192395.7780735935</v>
      </c>
      <c r="P45" s="121">
        <f t="shared" si="43"/>
        <v>3288167.6514158007</v>
      </c>
      <c r="Q45" s="121">
        <f t="shared" si="43"/>
        <v>3386812.6809582748</v>
      </c>
      <c r="R45" s="121">
        <f t="shared" si="43"/>
        <v>3488417.061387023</v>
      </c>
      <c r="S45" s="121">
        <f t="shared" ref="S45:AK45" si="44">SUM(S42:S44)</f>
        <v>3593069.573228634</v>
      </c>
      <c r="T45" s="121">
        <f t="shared" si="44"/>
        <v>3700861.6604254926</v>
      </c>
      <c r="U45" s="121">
        <f t="shared" si="44"/>
        <v>3811887.5102382572</v>
      </c>
      <c r="V45" s="121">
        <f t="shared" si="44"/>
        <v>3926244.1355454046</v>
      </c>
      <c r="W45" s="121">
        <f t="shared" si="44"/>
        <v>4044031.4596117674</v>
      </c>
      <c r="X45" s="121">
        <f t="shared" si="44"/>
        <v>4165352.4034001199</v>
      </c>
      <c r="Y45" s="121">
        <f t="shared" si="44"/>
        <v>4290312.9755021231</v>
      </c>
      <c r="Z45" s="121">
        <f t="shared" si="44"/>
        <v>4419022.3647671873</v>
      </c>
      <c r="AA45" s="121">
        <f t="shared" si="44"/>
        <v>4551593.0357102025</v>
      </c>
      <c r="AB45" s="121">
        <f t="shared" si="44"/>
        <v>4688140.8267815094</v>
      </c>
      <c r="AC45" s="121">
        <f t="shared" si="44"/>
        <v>4828785.0515849534</v>
      </c>
      <c r="AD45" s="121">
        <f t="shared" si="44"/>
        <v>4973648.6031325022</v>
      </c>
      <c r="AE45" s="121">
        <f t="shared" si="44"/>
        <v>5122858.0612264769</v>
      </c>
      <c r="AF45" s="121">
        <f t="shared" si="44"/>
        <v>5276543.8030632716</v>
      </c>
      <c r="AG45" s="121">
        <f t="shared" si="44"/>
        <v>5434840.1171551691</v>
      </c>
      <c r="AH45" s="121">
        <f t="shared" si="44"/>
        <v>5597885.3206698252</v>
      </c>
      <c r="AI45" s="121">
        <f t="shared" si="44"/>
        <v>5765821.8802899187</v>
      </c>
      <c r="AJ45" s="121">
        <f t="shared" si="44"/>
        <v>5938796.536698617</v>
      </c>
      <c r="AK45" s="121">
        <f t="shared" si="44"/>
        <v>6116960.432799574</v>
      </c>
    </row>
    <row r="47" spans="1:37">
      <c r="B47" s="111" t="s">
        <v>413</v>
      </c>
    </row>
    <row r="48" spans="1:37">
      <c r="C48" s="111" t="str">
        <f>J17</f>
        <v>Repairs and Maintenance</v>
      </c>
      <c r="H48" s="116">
        <f t="shared" ref="H48:AK48" si="45">$M17*(1+$G$20)^G$37</f>
        <v>141471</v>
      </c>
      <c r="I48" s="116">
        <f t="shared" si="45"/>
        <v>144300.42000000001</v>
      </c>
      <c r="J48" s="116">
        <f t="shared" si="45"/>
        <v>147186.4284</v>
      </c>
      <c r="K48" s="116">
        <f t="shared" si="45"/>
        <v>150130.156968</v>
      </c>
      <c r="L48" s="116">
        <f t="shared" si="45"/>
        <v>153132.76010735999</v>
      </c>
      <c r="M48" s="116">
        <f t="shared" si="45"/>
        <v>156195.4153095072</v>
      </c>
      <c r="N48" s="116">
        <f t="shared" si="45"/>
        <v>159319.32361569736</v>
      </c>
      <c r="O48" s="116">
        <f t="shared" si="45"/>
        <v>162505.71008801126</v>
      </c>
      <c r="P48" s="116">
        <f t="shared" si="45"/>
        <v>165755.8242897715</v>
      </c>
      <c r="Q48" s="116">
        <f t="shared" si="45"/>
        <v>169070.94077556694</v>
      </c>
      <c r="R48" s="116">
        <f t="shared" si="45"/>
        <v>172452.35959107828</v>
      </c>
      <c r="S48" s="116">
        <f t="shared" si="45"/>
        <v>175901.40678289981</v>
      </c>
      <c r="T48" s="116">
        <f t="shared" si="45"/>
        <v>179419.43491855785</v>
      </c>
      <c r="U48" s="116">
        <f t="shared" si="45"/>
        <v>183007.82361692897</v>
      </c>
      <c r="V48" s="116">
        <f t="shared" si="45"/>
        <v>186667.9800892676</v>
      </c>
      <c r="W48" s="116">
        <f t="shared" si="45"/>
        <v>190401.33969105288</v>
      </c>
      <c r="X48" s="116">
        <f t="shared" si="45"/>
        <v>194209.36648487399</v>
      </c>
      <c r="Y48" s="116">
        <f t="shared" si="45"/>
        <v>198093.55381457147</v>
      </c>
      <c r="Z48" s="116">
        <f t="shared" si="45"/>
        <v>202055.42489086287</v>
      </c>
      <c r="AA48" s="116">
        <f t="shared" si="45"/>
        <v>206096.53338868014</v>
      </c>
      <c r="AB48" s="116">
        <f t="shared" si="45"/>
        <v>210218.46405645375</v>
      </c>
      <c r="AC48" s="116">
        <f t="shared" si="45"/>
        <v>214422.83333758282</v>
      </c>
      <c r="AD48" s="116">
        <f t="shared" si="45"/>
        <v>218711.29000433447</v>
      </c>
      <c r="AE48" s="116">
        <f t="shared" si="45"/>
        <v>223085.51580442113</v>
      </c>
      <c r="AF48" s="116">
        <f t="shared" si="45"/>
        <v>227547.22612050956</v>
      </c>
      <c r="AG48" s="116">
        <f t="shared" si="45"/>
        <v>232098.17064291975</v>
      </c>
      <c r="AH48" s="116">
        <f t="shared" si="45"/>
        <v>236740.13405577818</v>
      </c>
      <c r="AI48" s="116">
        <f t="shared" si="45"/>
        <v>241474.93673689369</v>
      </c>
      <c r="AJ48" s="116">
        <f t="shared" si="45"/>
        <v>246304.43547163162</v>
      </c>
      <c r="AK48" s="116">
        <f t="shared" si="45"/>
        <v>251230.52418106422</v>
      </c>
    </row>
    <row r="49" spans="2:37">
      <c r="C49" s="111" t="str">
        <f>J18</f>
        <v>Administrative</v>
      </c>
      <c r="H49" s="116">
        <f t="shared" ref="H49:AK49" si="46">$M18*(1+$G$20)^G$37</f>
        <v>141471</v>
      </c>
      <c r="I49" s="116">
        <f t="shared" si="46"/>
        <v>144300.42000000001</v>
      </c>
      <c r="J49" s="116">
        <f t="shared" si="46"/>
        <v>147186.4284</v>
      </c>
      <c r="K49" s="116">
        <f t="shared" si="46"/>
        <v>150130.156968</v>
      </c>
      <c r="L49" s="116">
        <f t="shared" si="46"/>
        <v>153132.76010735999</v>
      </c>
      <c r="M49" s="116">
        <f t="shared" si="46"/>
        <v>156195.4153095072</v>
      </c>
      <c r="N49" s="116">
        <f t="shared" si="46"/>
        <v>159319.32361569736</v>
      </c>
      <c r="O49" s="116">
        <f t="shared" si="46"/>
        <v>162505.71008801126</v>
      </c>
      <c r="P49" s="116">
        <f t="shared" si="46"/>
        <v>165755.8242897715</v>
      </c>
      <c r="Q49" s="116">
        <f t="shared" si="46"/>
        <v>169070.94077556694</v>
      </c>
      <c r="R49" s="116">
        <f t="shared" si="46"/>
        <v>172452.35959107828</v>
      </c>
      <c r="S49" s="116">
        <f t="shared" si="46"/>
        <v>175901.40678289981</v>
      </c>
      <c r="T49" s="116">
        <f t="shared" si="46"/>
        <v>179419.43491855785</v>
      </c>
      <c r="U49" s="116">
        <f t="shared" si="46"/>
        <v>183007.82361692897</v>
      </c>
      <c r="V49" s="116">
        <f t="shared" si="46"/>
        <v>186667.9800892676</v>
      </c>
      <c r="W49" s="116">
        <f t="shared" si="46"/>
        <v>190401.33969105288</v>
      </c>
      <c r="X49" s="116">
        <f t="shared" si="46"/>
        <v>194209.36648487399</v>
      </c>
      <c r="Y49" s="116">
        <f t="shared" si="46"/>
        <v>198093.55381457147</v>
      </c>
      <c r="Z49" s="116">
        <f t="shared" si="46"/>
        <v>202055.42489086287</v>
      </c>
      <c r="AA49" s="116">
        <f t="shared" si="46"/>
        <v>206096.53338868014</v>
      </c>
      <c r="AB49" s="116">
        <f t="shared" si="46"/>
        <v>210218.46405645375</v>
      </c>
      <c r="AC49" s="116">
        <f t="shared" si="46"/>
        <v>214422.83333758282</v>
      </c>
      <c r="AD49" s="116">
        <f t="shared" si="46"/>
        <v>218711.29000433447</v>
      </c>
      <c r="AE49" s="116">
        <f t="shared" si="46"/>
        <v>223085.51580442113</v>
      </c>
      <c r="AF49" s="116">
        <f t="shared" si="46"/>
        <v>227547.22612050956</v>
      </c>
      <c r="AG49" s="116">
        <f t="shared" si="46"/>
        <v>232098.17064291975</v>
      </c>
      <c r="AH49" s="116">
        <f t="shared" si="46"/>
        <v>236740.13405577818</v>
      </c>
      <c r="AI49" s="116">
        <f t="shared" si="46"/>
        <v>241474.93673689369</v>
      </c>
      <c r="AJ49" s="116">
        <f t="shared" si="46"/>
        <v>246304.43547163162</v>
      </c>
      <c r="AK49" s="116">
        <f t="shared" si="46"/>
        <v>251230.52418106422</v>
      </c>
    </row>
    <row r="50" spans="2:37">
      <c r="C50" s="111" t="str">
        <f>J19</f>
        <v>Utilities</v>
      </c>
      <c r="H50" s="116">
        <f t="shared" ref="H50:AK51" si="47">$M19*(1+$G$20)^G$37</f>
        <v>188628</v>
      </c>
      <c r="I50" s="116">
        <f t="shared" si="47"/>
        <v>192400.56</v>
      </c>
      <c r="J50" s="116">
        <f t="shared" si="47"/>
        <v>196248.57120000001</v>
      </c>
      <c r="K50" s="116">
        <f t="shared" si="47"/>
        <v>200173.54262399999</v>
      </c>
      <c r="L50" s="116">
        <f t="shared" si="47"/>
        <v>204177.01347648</v>
      </c>
      <c r="M50" s="116">
        <f t="shared" si="47"/>
        <v>208260.55374600959</v>
      </c>
      <c r="N50" s="116">
        <f t="shared" si="47"/>
        <v>212425.76482092979</v>
      </c>
      <c r="O50" s="116">
        <f t="shared" si="47"/>
        <v>216674.28011734836</v>
      </c>
      <c r="P50" s="116">
        <f t="shared" si="47"/>
        <v>221007.76571969534</v>
      </c>
      <c r="Q50" s="116">
        <f t="shared" si="47"/>
        <v>225427.92103408926</v>
      </c>
      <c r="R50" s="116">
        <f t="shared" si="47"/>
        <v>229936.47945477103</v>
      </c>
      <c r="S50" s="116">
        <f t="shared" si="47"/>
        <v>234535.20904386643</v>
      </c>
      <c r="T50" s="116">
        <f t="shared" si="47"/>
        <v>239225.9132247438</v>
      </c>
      <c r="U50" s="116">
        <f t="shared" si="47"/>
        <v>244010.43148923866</v>
      </c>
      <c r="V50" s="116">
        <f t="shared" si="47"/>
        <v>248890.64011902345</v>
      </c>
      <c r="W50" s="116">
        <f t="shared" si="47"/>
        <v>253868.45292140383</v>
      </c>
      <c r="X50" s="116">
        <f t="shared" si="47"/>
        <v>258945.82197983196</v>
      </c>
      <c r="Y50" s="116">
        <f t="shared" si="47"/>
        <v>264124.73841942864</v>
      </c>
      <c r="Z50" s="116">
        <f t="shared" si="47"/>
        <v>269407.23318781715</v>
      </c>
      <c r="AA50" s="116">
        <f t="shared" si="47"/>
        <v>274795.37785157352</v>
      </c>
      <c r="AB50" s="116">
        <f t="shared" si="47"/>
        <v>280291.28540860501</v>
      </c>
      <c r="AC50" s="116">
        <f t="shared" si="47"/>
        <v>285897.11111677706</v>
      </c>
      <c r="AD50" s="116">
        <f t="shared" si="47"/>
        <v>291615.05333911267</v>
      </c>
      <c r="AE50" s="116">
        <f t="shared" si="47"/>
        <v>297447.35440589482</v>
      </c>
      <c r="AF50" s="116">
        <f t="shared" si="47"/>
        <v>303396.30149401276</v>
      </c>
      <c r="AG50" s="116">
        <f t="shared" si="47"/>
        <v>309464.227523893</v>
      </c>
      <c r="AH50" s="116">
        <f t="shared" si="47"/>
        <v>315653.51207437093</v>
      </c>
      <c r="AI50" s="116">
        <f t="shared" si="47"/>
        <v>321966.58231585828</v>
      </c>
      <c r="AJ50" s="116">
        <f t="shared" si="47"/>
        <v>328405.91396217549</v>
      </c>
      <c r="AK50" s="116">
        <f t="shared" si="47"/>
        <v>334974.03224141896</v>
      </c>
    </row>
    <row r="51" spans="2:37">
      <c r="C51" s="111" t="str">
        <f>J20</f>
        <v>Real Estate Taxes</v>
      </c>
      <c r="H51" s="116">
        <f t="shared" si="47"/>
        <v>115364.88479999999</v>
      </c>
      <c r="I51" s="116">
        <f t="shared" si="47"/>
        <v>117672.18249599999</v>
      </c>
      <c r="J51" s="116">
        <f t="shared" si="47"/>
        <v>120025.62614591999</v>
      </c>
      <c r="K51" s="116">
        <f t="shared" si="47"/>
        <v>122426.13866883838</v>
      </c>
      <c r="L51" s="116">
        <f t="shared" si="47"/>
        <v>124874.66144221515</v>
      </c>
      <c r="M51" s="116">
        <f t="shared" si="47"/>
        <v>127372.15467105946</v>
      </c>
      <c r="N51" s="116">
        <f t="shared" si="47"/>
        <v>129919.59776448066</v>
      </c>
      <c r="O51" s="116">
        <f t="shared" si="47"/>
        <v>132517.98971977024</v>
      </c>
      <c r="P51" s="116">
        <f t="shared" si="47"/>
        <v>135168.34951416566</v>
      </c>
      <c r="Q51" s="116">
        <f t="shared" si="47"/>
        <v>137871.71650444897</v>
      </c>
      <c r="R51" s="116">
        <f t="shared" si="47"/>
        <v>140629.15083453796</v>
      </c>
      <c r="S51" s="116">
        <f t="shared" si="47"/>
        <v>143441.7338512287</v>
      </c>
      <c r="T51" s="116">
        <f t="shared" si="47"/>
        <v>146310.56852825329</v>
      </c>
      <c r="U51" s="116">
        <f t="shared" si="47"/>
        <v>149236.77989881835</v>
      </c>
      <c r="V51" s="116">
        <f t="shared" si="47"/>
        <v>152221.51549679472</v>
      </c>
      <c r="W51" s="116">
        <f t="shared" si="47"/>
        <v>155265.94580673057</v>
      </c>
      <c r="X51" s="116">
        <f t="shared" si="47"/>
        <v>158371.26472286522</v>
      </c>
      <c r="Y51" s="116">
        <f t="shared" si="47"/>
        <v>161538.69001732251</v>
      </c>
      <c r="Z51" s="116">
        <f t="shared" si="47"/>
        <v>164769.46381766896</v>
      </c>
      <c r="AA51" s="116">
        <f t="shared" si="47"/>
        <v>168064.85309402234</v>
      </c>
      <c r="AB51" s="116">
        <f t="shared" si="47"/>
        <v>171426.15015590281</v>
      </c>
      <c r="AC51" s="116">
        <f t="shared" si="47"/>
        <v>174854.67315902084</v>
      </c>
      <c r="AD51" s="116">
        <f t="shared" si="47"/>
        <v>178351.76662220128</v>
      </c>
      <c r="AE51" s="116">
        <f t="shared" si="47"/>
        <v>181918.80195464526</v>
      </c>
      <c r="AF51" s="116">
        <f t="shared" si="47"/>
        <v>185557.17799373818</v>
      </c>
      <c r="AG51" s="116">
        <f t="shared" si="47"/>
        <v>189268.32155361294</v>
      </c>
      <c r="AH51" s="116">
        <f t="shared" si="47"/>
        <v>193053.68798468521</v>
      </c>
      <c r="AI51" s="116">
        <f t="shared" si="47"/>
        <v>196914.76174437889</v>
      </c>
      <c r="AJ51" s="116">
        <f t="shared" si="47"/>
        <v>200853.05697926652</v>
      </c>
      <c r="AK51" s="116">
        <f t="shared" si="47"/>
        <v>204870.11811885179</v>
      </c>
    </row>
    <row r="52" spans="2:37">
      <c r="C52" s="111" t="str">
        <f>J21</f>
        <v>Property Management Fee (% gross revenue)</v>
      </c>
      <c r="H52" s="116">
        <f t="shared" ref="H52:AK52" si="48">H42*$N$21</f>
        <v>86523.663599999985</v>
      </c>
      <c r="I52" s="116">
        <f t="shared" si="48"/>
        <v>89119.37350799999</v>
      </c>
      <c r="J52" s="116">
        <f t="shared" si="48"/>
        <v>91792.954713239989</v>
      </c>
      <c r="K52" s="116">
        <f t="shared" si="48"/>
        <v>94546.74335463719</v>
      </c>
      <c r="L52" s="116">
        <f t="shared" si="48"/>
        <v>97383.145655276297</v>
      </c>
      <c r="M52" s="116">
        <f t="shared" si="48"/>
        <v>100304.64002493458</v>
      </c>
      <c r="N52" s="116">
        <f t="shared" si="48"/>
        <v>103313.77922568262</v>
      </c>
      <c r="O52" s="116">
        <f t="shared" si="48"/>
        <v>106413.19260245311</v>
      </c>
      <c r="P52" s="116">
        <f t="shared" si="48"/>
        <v>109605.58838052668</v>
      </c>
      <c r="Q52" s="116">
        <f t="shared" si="48"/>
        <v>112893.75603194248</v>
      </c>
      <c r="R52" s="116">
        <f t="shared" si="48"/>
        <v>116280.56871290076</v>
      </c>
      <c r="S52" s="116">
        <f t="shared" si="48"/>
        <v>119768.98577428778</v>
      </c>
      <c r="T52" s="116">
        <f t="shared" si="48"/>
        <v>123362.05534751641</v>
      </c>
      <c r="U52" s="116">
        <f t="shared" si="48"/>
        <v>127062.9170079419</v>
      </c>
      <c r="V52" s="116">
        <f t="shared" si="48"/>
        <v>130874.80451818014</v>
      </c>
      <c r="W52" s="116">
        <f t="shared" si="48"/>
        <v>134801.04865372556</v>
      </c>
      <c r="X52" s="116">
        <f t="shared" si="48"/>
        <v>138845.08011333732</v>
      </c>
      <c r="Y52" s="116">
        <f t="shared" si="48"/>
        <v>143010.43251673743</v>
      </c>
      <c r="Z52" s="116">
        <f t="shared" si="48"/>
        <v>147300.74549223957</v>
      </c>
      <c r="AA52" s="116">
        <f t="shared" si="48"/>
        <v>151719.76785700675</v>
      </c>
      <c r="AB52" s="116">
        <f t="shared" si="48"/>
        <v>156271.36089271697</v>
      </c>
      <c r="AC52" s="116">
        <f t="shared" si="48"/>
        <v>160959.50171949842</v>
      </c>
      <c r="AD52" s="116">
        <f t="shared" si="48"/>
        <v>165788.2867710834</v>
      </c>
      <c r="AE52" s="116">
        <f t="shared" si="48"/>
        <v>170761.93537421591</v>
      </c>
      <c r="AF52" s="116">
        <f t="shared" si="48"/>
        <v>175884.79343544235</v>
      </c>
      <c r="AG52" s="116">
        <f t="shared" si="48"/>
        <v>181161.33723850563</v>
      </c>
      <c r="AH52" s="116">
        <f t="shared" si="48"/>
        <v>186596.17735566082</v>
      </c>
      <c r="AI52" s="116">
        <f t="shared" si="48"/>
        <v>192194.06267633062</v>
      </c>
      <c r="AJ52" s="116">
        <f t="shared" si="48"/>
        <v>197959.88455662056</v>
      </c>
      <c r="AK52" s="116">
        <f t="shared" si="48"/>
        <v>203898.68109331914</v>
      </c>
    </row>
    <row r="53" spans="2:37">
      <c r="B53" s="120" t="s">
        <v>414</v>
      </c>
      <c r="C53" s="120"/>
      <c r="D53" s="120"/>
      <c r="E53" s="120"/>
      <c r="F53" s="120"/>
      <c r="G53" s="120"/>
      <c r="H53" s="121">
        <f t="shared" ref="H53:R53" si="49">SUM(H48:H52)</f>
        <v>673458.54839999997</v>
      </c>
      <c r="I53" s="121">
        <f t="shared" si="49"/>
        <v>687792.95600400004</v>
      </c>
      <c r="J53" s="121">
        <f t="shared" si="49"/>
        <v>702440.00885916001</v>
      </c>
      <c r="K53" s="121">
        <f t="shared" si="49"/>
        <v>717406.73858347558</v>
      </c>
      <c r="L53" s="121">
        <f t="shared" si="49"/>
        <v>732700.3407886913</v>
      </c>
      <c r="M53" s="121">
        <f t="shared" si="49"/>
        <v>748328.17906101805</v>
      </c>
      <c r="N53" s="121">
        <f t="shared" si="49"/>
        <v>764297.78904248774</v>
      </c>
      <c r="O53" s="121">
        <f t="shared" si="49"/>
        <v>780616.88261559419</v>
      </c>
      <c r="P53" s="121">
        <f t="shared" si="49"/>
        <v>797293.35219393065</v>
      </c>
      <c r="Q53" s="121">
        <f t="shared" si="49"/>
        <v>814335.27512161445</v>
      </c>
      <c r="R53" s="121">
        <f t="shared" si="49"/>
        <v>831750.91818436631</v>
      </c>
      <c r="S53" s="121">
        <f t="shared" ref="S53" si="50">SUM(S48:S52)</f>
        <v>849548.74223518255</v>
      </c>
      <c r="T53" s="121">
        <f t="shared" ref="T53" si="51">SUM(T48:T52)</f>
        <v>867737.40693762922</v>
      </c>
      <c r="U53" s="121">
        <f t="shared" ref="U53" si="52">SUM(U48:U52)</f>
        <v>886325.77562985686</v>
      </c>
      <c r="V53" s="121">
        <f t="shared" ref="V53" si="53">SUM(V48:V52)</f>
        <v>905322.92031253339</v>
      </c>
      <c r="W53" s="121">
        <f t="shared" ref="W53" si="54">SUM(W48:W52)</f>
        <v>924738.1267639657</v>
      </c>
      <c r="X53" s="121">
        <f t="shared" ref="X53" si="55">SUM(X48:X52)</f>
        <v>944580.89978578244</v>
      </c>
      <c r="Y53" s="121">
        <f t="shared" ref="Y53" si="56">SUM(Y48:Y52)</f>
        <v>964860.96858263155</v>
      </c>
      <c r="Z53" s="121">
        <f t="shared" ref="Z53" si="57">SUM(Z48:Z52)</f>
        <v>985588.29227945139</v>
      </c>
      <c r="AA53" s="121">
        <f t="shared" ref="AA53" si="58">SUM(AA48:AA52)</f>
        <v>1006773.0655799629</v>
      </c>
      <c r="AB53" s="121">
        <f t="shared" ref="AB53" si="59">SUM(AB48:AB52)</f>
        <v>1028425.7245701323</v>
      </c>
      <c r="AC53" s="121">
        <f t="shared" ref="AC53" si="60">SUM(AC48:AC52)</f>
        <v>1050556.952670462</v>
      </c>
      <c r="AD53" s="121">
        <f t="shared" ref="AD53" si="61">SUM(AD48:AD52)</f>
        <v>1073177.6867410664</v>
      </c>
      <c r="AE53" s="121">
        <f t="shared" ref="AE53" si="62">SUM(AE48:AE52)</f>
        <v>1096299.1233435983</v>
      </c>
      <c r="AF53" s="121">
        <f t="shared" ref="AF53" si="63">SUM(AF48:AF52)</f>
        <v>1119932.7251642125</v>
      </c>
      <c r="AG53" s="121">
        <f t="shared" ref="AG53" si="64">SUM(AG48:AG52)</f>
        <v>1144090.2276018511</v>
      </c>
      <c r="AH53" s="121">
        <f t="shared" ref="AH53" si="65">SUM(AH48:AH52)</f>
        <v>1168783.6455262732</v>
      </c>
      <c r="AI53" s="121">
        <f t="shared" ref="AI53" si="66">SUM(AI48:AI52)</f>
        <v>1194025.2802103551</v>
      </c>
      <c r="AJ53" s="121">
        <f t="shared" ref="AJ53" si="67">SUM(AJ48:AJ52)</f>
        <v>1219827.7264413259</v>
      </c>
      <c r="AK53" s="121">
        <f t="shared" ref="AK53" si="68">SUM(AK48:AK52)</f>
        <v>1246203.8798157184</v>
      </c>
    </row>
    <row r="55" spans="2:37">
      <c r="B55" s="111" t="s">
        <v>524</v>
      </c>
      <c r="H55" s="116">
        <f t="shared" ref="H55:R55" si="69">H45-H53</f>
        <v>1922251.3595999999</v>
      </c>
      <c r="I55" s="116">
        <f t="shared" si="69"/>
        <v>1985788.249236</v>
      </c>
      <c r="J55" s="116">
        <f t="shared" si="69"/>
        <v>2051348.6325380397</v>
      </c>
      <c r="K55" s="116">
        <f t="shared" si="69"/>
        <v>2118995.5620556399</v>
      </c>
      <c r="L55" s="116">
        <f t="shared" si="69"/>
        <v>2188794.0288695977</v>
      </c>
      <c r="M55" s="116">
        <f t="shared" si="69"/>
        <v>2260811.0216870196</v>
      </c>
      <c r="N55" s="116">
        <f t="shared" si="69"/>
        <v>2335115.5877279914</v>
      </c>
      <c r="O55" s="116">
        <f t="shared" si="69"/>
        <v>2411778.8954579993</v>
      </c>
      <c r="P55" s="116">
        <f t="shared" si="69"/>
        <v>2490874.29922187</v>
      </c>
      <c r="Q55" s="116">
        <f t="shared" si="69"/>
        <v>2572477.4058366604</v>
      </c>
      <c r="R55" s="116">
        <f t="shared" si="69"/>
        <v>2656666.1432026569</v>
      </c>
      <c r="S55" s="116">
        <f t="shared" ref="S55:AK55" si="70">S45-S53</f>
        <v>2743520.8309934512</v>
      </c>
      <c r="T55" s="116">
        <f t="shared" si="70"/>
        <v>2833124.2534878636</v>
      </c>
      <c r="U55" s="116">
        <f t="shared" si="70"/>
        <v>2925561.7346084006</v>
      </c>
      <c r="V55" s="116">
        <f t="shared" si="70"/>
        <v>3020921.2152328715</v>
      </c>
      <c r="W55" s="116">
        <f t="shared" si="70"/>
        <v>3119293.332847802</v>
      </c>
      <c r="X55" s="116">
        <f t="shared" si="70"/>
        <v>3220771.5036143372</v>
      </c>
      <c r="Y55" s="116">
        <f t="shared" si="70"/>
        <v>3325452.0069194916</v>
      </c>
      <c r="Z55" s="116">
        <f t="shared" si="70"/>
        <v>3433434.0724877361</v>
      </c>
      <c r="AA55" s="116">
        <f t="shared" si="70"/>
        <v>3544819.9701302396</v>
      </c>
      <c r="AB55" s="116">
        <f t="shared" si="70"/>
        <v>3659715.1022113771</v>
      </c>
      <c r="AC55" s="116">
        <f t="shared" si="70"/>
        <v>3778228.0989144915</v>
      </c>
      <c r="AD55" s="116">
        <f t="shared" si="70"/>
        <v>3900470.916391436</v>
      </c>
      <c r="AE55" s="116">
        <f t="shared" si="70"/>
        <v>4026558.9378828788</v>
      </c>
      <c r="AF55" s="116">
        <f t="shared" si="70"/>
        <v>4156611.0778990593</v>
      </c>
      <c r="AG55" s="116">
        <f t="shared" si="70"/>
        <v>4290749.8895533178</v>
      </c>
      <c r="AH55" s="116">
        <f t="shared" si="70"/>
        <v>4429101.675143552</v>
      </c>
      <c r="AI55" s="116">
        <f t="shared" si="70"/>
        <v>4571796.6000795634</v>
      </c>
      <c r="AJ55" s="116">
        <f t="shared" si="70"/>
        <v>4718968.8102572914</v>
      </c>
      <c r="AK55" s="116">
        <f t="shared" si="70"/>
        <v>4870756.5529838558</v>
      </c>
    </row>
    <row r="57" spans="2:37">
      <c r="B57" s="111" t="s">
        <v>582</v>
      </c>
    </row>
    <row r="58" spans="2:37">
      <c r="C58" s="111" t="s">
        <v>583</v>
      </c>
      <c r="H58" s="116">
        <f>-IF($G$27=10,SUM(H90:R90)*G12,SUM(H90:L90)*$G$12)</f>
        <v>-2216354.8116191872</v>
      </c>
    </row>
    <row r="59" spans="2:37">
      <c r="C59" s="111" t="s">
        <v>584</v>
      </c>
      <c r="H59" s="116">
        <f>-G22*G12</f>
        <v>-1414710</v>
      </c>
    </row>
    <row r="61" spans="2:37">
      <c r="B61" s="111" t="s">
        <v>6</v>
      </c>
      <c r="G61" s="116">
        <f t="shared" ref="G61:R61" ca="1" si="71">IF(G37&lt;=$G$27+1,G40+G55+SUM(G58:G59),0)</f>
        <v>-21485832.511752293</v>
      </c>
      <c r="H61" s="116">
        <f t="shared" si="71"/>
        <v>-1708813.4520191874</v>
      </c>
      <c r="I61" s="116">
        <f t="shared" si="71"/>
        <v>1985788.249236</v>
      </c>
      <c r="J61" s="116">
        <f t="shared" si="71"/>
        <v>2051348.6325380397</v>
      </c>
      <c r="K61" s="116">
        <f t="shared" si="71"/>
        <v>2118995.5620556399</v>
      </c>
      <c r="L61" s="116">
        <f t="shared" si="71"/>
        <v>2188794.0288695977</v>
      </c>
      <c r="M61" s="116">
        <f t="shared" si="71"/>
        <v>2260811.0216870196</v>
      </c>
      <c r="N61" s="116">
        <f t="shared" si="71"/>
        <v>2335115.5877279914</v>
      </c>
      <c r="O61" s="116">
        <f t="shared" si="71"/>
        <v>2411778.8954579993</v>
      </c>
      <c r="P61" s="116">
        <f t="shared" si="71"/>
        <v>2490874.29922187</v>
      </c>
      <c r="Q61" s="116">
        <f t="shared" si="71"/>
        <v>2572477.4058366604</v>
      </c>
      <c r="R61" s="116">
        <f t="shared" si="71"/>
        <v>2656666.1432026569</v>
      </c>
      <c r="S61" s="116">
        <f t="shared" ref="S61:AK61" si="72">IF(S37&lt;=$G$27+1,S40+S55+SUM(S58:S59),0)</f>
        <v>0</v>
      </c>
      <c r="T61" s="116">
        <f t="shared" si="72"/>
        <v>0</v>
      </c>
      <c r="U61" s="116">
        <f t="shared" si="72"/>
        <v>0</v>
      </c>
      <c r="V61" s="116">
        <f t="shared" si="72"/>
        <v>0</v>
      </c>
      <c r="W61" s="116">
        <f t="shared" si="72"/>
        <v>0</v>
      </c>
      <c r="X61" s="116">
        <f t="shared" si="72"/>
        <v>0</v>
      </c>
      <c r="Y61" s="116">
        <f t="shared" si="72"/>
        <v>0</v>
      </c>
      <c r="Z61" s="116">
        <f t="shared" si="72"/>
        <v>0</v>
      </c>
      <c r="AA61" s="116">
        <f t="shared" si="72"/>
        <v>0</v>
      </c>
      <c r="AB61" s="116">
        <f t="shared" si="72"/>
        <v>0</v>
      </c>
      <c r="AC61" s="116">
        <f t="shared" si="72"/>
        <v>0</v>
      </c>
      <c r="AD61" s="116">
        <f t="shared" si="72"/>
        <v>0</v>
      </c>
      <c r="AE61" s="116">
        <f t="shared" si="72"/>
        <v>0</v>
      </c>
      <c r="AF61" s="116">
        <f t="shared" si="72"/>
        <v>0</v>
      </c>
      <c r="AG61" s="116">
        <f t="shared" si="72"/>
        <v>0</v>
      </c>
      <c r="AH61" s="116">
        <f t="shared" si="72"/>
        <v>0</v>
      </c>
      <c r="AI61" s="116">
        <f t="shared" si="72"/>
        <v>0</v>
      </c>
      <c r="AJ61" s="116">
        <f t="shared" si="72"/>
        <v>0</v>
      </c>
      <c r="AK61" s="116">
        <f t="shared" si="72"/>
        <v>0</v>
      </c>
    </row>
    <row r="62" spans="2:37"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</row>
    <row r="63" spans="2:37">
      <c r="B63" s="111" t="s">
        <v>525</v>
      </c>
      <c r="H63" s="116">
        <f t="shared" ref="H63:R63" si="73">IF(H37=$G$27,I61/$G$25,0)</f>
        <v>0</v>
      </c>
      <c r="I63" s="116">
        <f t="shared" si="73"/>
        <v>0</v>
      </c>
      <c r="J63" s="116">
        <f t="shared" si="73"/>
        <v>0</v>
      </c>
      <c r="K63" s="116">
        <f t="shared" si="73"/>
        <v>0</v>
      </c>
      <c r="L63" s="116">
        <f t="shared" si="73"/>
        <v>0</v>
      </c>
      <c r="M63" s="116">
        <f t="shared" si="73"/>
        <v>0</v>
      </c>
      <c r="N63" s="116">
        <f t="shared" si="73"/>
        <v>0</v>
      </c>
      <c r="O63" s="116">
        <f t="shared" si="73"/>
        <v>0</v>
      </c>
      <c r="P63" s="116">
        <f t="shared" si="73"/>
        <v>0</v>
      </c>
      <c r="Q63" s="116">
        <f t="shared" si="73"/>
        <v>53133322.864053138</v>
      </c>
      <c r="R63" s="116">
        <f t="shared" si="73"/>
        <v>0</v>
      </c>
      <c r="S63" s="116">
        <f t="shared" ref="S63:AJ63" si="74">IF(S37=$G$27,T61/$G$25,0)</f>
        <v>0</v>
      </c>
      <c r="T63" s="116">
        <f t="shared" si="74"/>
        <v>0</v>
      </c>
      <c r="U63" s="116">
        <f t="shared" si="74"/>
        <v>0</v>
      </c>
      <c r="V63" s="116">
        <f t="shared" si="74"/>
        <v>0</v>
      </c>
      <c r="W63" s="116">
        <f t="shared" si="74"/>
        <v>0</v>
      </c>
      <c r="X63" s="116">
        <f t="shared" si="74"/>
        <v>0</v>
      </c>
      <c r="Y63" s="116">
        <f t="shared" si="74"/>
        <v>0</v>
      </c>
      <c r="Z63" s="116">
        <f t="shared" si="74"/>
        <v>0</v>
      </c>
      <c r="AA63" s="116">
        <f t="shared" si="74"/>
        <v>0</v>
      </c>
      <c r="AB63" s="116">
        <f t="shared" si="74"/>
        <v>0</v>
      </c>
      <c r="AC63" s="116">
        <f t="shared" si="74"/>
        <v>0</v>
      </c>
      <c r="AD63" s="116">
        <f t="shared" si="74"/>
        <v>0</v>
      </c>
      <c r="AE63" s="116">
        <f t="shared" si="74"/>
        <v>0</v>
      </c>
      <c r="AF63" s="116">
        <f t="shared" si="74"/>
        <v>0</v>
      </c>
      <c r="AG63" s="116">
        <f t="shared" si="74"/>
        <v>0</v>
      </c>
      <c r="AH63" s="116">
        <f t="shared" si="74"/>
        <v>0</v>
      </c>
      <c r="AI63" s="116">
        <f t="shared" si="74"/>
        <v>0</v>
      </c>
      <c r="AJ63" s="116">
        <f t="shared" si="74"/>
        <v>0</v>
      </c>
      <c r="AK63" s="116">
        <f>IF(AK37=$G$27,#REF!/$G$25,0)</f>
        <v>0</v>
      </c>
    </row>
    <row r="64" spans="2:37">
      <c r="B64" s="111" t="s">
        <v>393</v>
      </c>
      <c r="H64" s="116">
        <f>-H63*$G$28</f>
        <v>0</v>
      </c>
      <c r="I64" s="116">
        <f t="shared" ref="I64:R64" si="75">-I63*$G$28</f>
        <v>0</v>
      </c>
      <c r="J64" s="116">
        <f t="shared" si="75"/>
        <v>0</v>
      </c>
      <c r="K64" s="116">
        <f t="shared" si="75"/>
        <v>0</v>
      </c>
      <c r="L64" s="116">
        <f t="shared" si="75"/>
        <v>0</v>
      </c>
      <c r="M64" s="116">
        <f t="shared" si="75"/>
        <v>0</v>
      </c>
      <c r="N64" s="116">
        <f t="shared" si="75"/>
        <v>0</v>
      </c>
      <c r="O64" s="116">
        <f t="shared" si="75"/>
        <v>0</v>
      </c>
      <c r="P64" s="116">
        <f t="shared" si="75"/>
        <v>0</v>
      </c>
      <c r="Q64" s="116">
        <f t="shared" si="75"/>
        <v>0</v>
      </c>
      <c r="R64" s="116">
        <f t="shared" si="75"/>
        <v>0</v>
      </c>
      <c r="S64" s="116">
        <f t="shared" ref="S64:AK64" si="76">-S63*$G$28</f>
        <v>0</v>
      </c>
      <c r="T64" s="116">
        <f t="shared" si="76"/>
        <v>0</v>
      </c>
      <c r="U64" s="116">
        <f t="shared" si="76"/>
        <v>0</v>
      </c>
      <c r="V64" s="116">
        <f t="shared" si="76"/>
        <v>0</v>
      </c>
      <c r="W64" s="116">
        <f t="shared" si="76"/>
        <v>0</v>
      </c>
      <c r="X64" s="116">
        <f t="shared" si="76"/>
        <v>0</v>
      </c>
      <c r="Y64" s="116">
        <f t="shared" si="76"/>
        <v>0</v>
      </c>
      <c r="Z64" s="116">
        <f t="shared" si="76"/>
        <v>0</v>
      </c>
      <c r="AA64" s="116">
        <f t="shared" si="76"/>
        <v>0</v>
      </c>
      <c r="AB64" s="116">
        <f t="shared" si="76"/>
        <v>0</v>
      </c>
      <c r="AC64" s="116">
        <f t="shared" si="76"/>
        <v>0</v>
      </c>
      <c r="AD64" s="116">
        <f t="shared" si="76"/>
        <v>0</v>
      </c>
      <c r="AE64" s="116">
        <f t="shared" si="76"/>
        <v>0</v>
      </c>
      <c r="AF64" s="116">
        <f t="shared" si="76"/>
        <v>0</v>
      </c>
      <c r="AG64" s="116">
        <f t="shared" si="76"/>
        <v>0</v>
      </c>
      <c r="AH64" s="116">
        <f t="shared" si="76"/>
        <v>0</v>
      </c>
      <c r="AI64" s="116">
        <f t="shared" si="76"/>
        <v>0</v>
      </c>
      <c r="AJ64" s="116">
        <f t="shared" si="76"/>
        <v>0</v>
      </c>
      <c r="AK64" s="116">
        <f t="shared" si="76"/>
        <v>0</v>
      </c>
    </row>
    <row r="65" spans="2:37">
      <c r="B65" s="120" t="s">
        <v>526</v>
      </c>
      <c r="C65" s="120"/>
      <c r="D65" s="120"/>
      <c r="E65" s="120"/>
      <c r="F65" s="120"/>
      <c r="G65" s="121">
        <f ca="1">SUM(G61:G64)</f>
        <v>-21485832.511752293</v>
      </c>
      <c r="H65" s="121">
        <f t="shared" ref="H65:R65" si="77">SUM(H61:H64)</f>
        <v>-1708813.4520191874</v>
      </c>
      <c r="I65" s="121">
        <f t="shared" si="77"/>
        <v>1985788.249236</v>
      </c>
      <c r="J65" s="121">
        <f t="shared" si="77"/>
        <v>2051348.6325380397</v>
      </c>
      <c r="K65" s="121">
        <f t="shared" si="77"/>
        <v>2118995.5620556399</v>
      </c>
      <c r="L65" s="121">
        <f t="shared" si="77"/>
        <v>2188794.0288695977</v>
      </c>
      <c r="M65" s="121">
        <f t="shared" si="77"/>
        <v>2260811.0216870196</v>
      </c>
      <c r="N65" s="121">
        <f t="shared" si="77"/>
        <v>2335115.5877279914</v>
      </c>
      <c r="O65" s="121">
        <f t="shared" si="77"/>
        <v>2411778.8954579993</v>
      </c>
      <c r="P65" s="121">
        <f t="shared" si="77"/>
        <v>2490874.29922187</v>
      </c>
      <c r="Q65" s="121">
        <f t="shared" si="77"/>
        <v>55705800.269889802</v>
      </c>
      <c r="R65" s="121">
        <f t="shared" si="77"/>
        <v>2656666.1432026569</v>
      </c>
      <c r="S65" s="121">
        <f t="shared" ref="S65:AK65" si="78">SUM(S61:S64)</f>
        <v>0</v>
      </c>
      <c r="T65" s="121">
        <f t="shared" si="78"/>
        <v>0</v>
      </c>
      <c r="U65" s="121">
        <f t="shared" si="78"/>
        <v>0</v>
      </c>
      <c r="V65" s="121">
        <f t="shared" si="78"/>
        <v>0</v>
      </c>
      <c r="W65" s="121">
        <f t="shared" si="78"/>
        <v>0</v>
      </c>
      <c r="X65" s="121">
        <f t="shared" si="78"/>
        <v>0</v>
      </c>
      <c r="Y65" s="121">
        <f t="shared" si="78"/>
        <v>0</v>
      </c>
      <c r="Z65" s="121">
        <f t="shared" si="78"/>
        <v>0</v>
      </c>
      <c r="AA65" s="121">
        <f t="shared" si="78"/>
        <v>0</v>
      </c>
      <c r="AB65" s="121">
        <f t="shared" si="78"/>
        <v>0</v>
      </c>
      <c r="AC65" s="121">
        <f t="shared" si="78"/>
        <v>0</v>
      </c>
      <c r="AD65" s="121">
        <f t="shared" si="78"/>
        <v>0</v>
      </c>
      <c r="AE65" s="121">
        <f t="shared" si="78"/>
        <v>0</v>
      </c>
      <c r="AF65" s="121">
        <f t="shared" si="78"/>
        <v>0</v>
      </c>
      <c r="AG65" s="121">
        <f t="shared" si="78"/>
        <v>0</v>
      </c>
      <c r="AH65" s="121">
        <f t="shared" si="78"/>
        <v>0</v>
      </c>
      <c r="AI65" s="121">
        <f t="shared" si="78"/>
        <v>0</v>
      </c>
      <c r="AJ65" s="121">
        <f t="shared" si="78"/>
        <v>0</v>
      </c>
      <c r="AK65" s="121">
        <f t="shared" si="78"/>
        <v>0</v>
      </c>
    </row>
    <row r="66" spans="2:37" ht="15" thickBot="1"/>
    <row r="67" spans="2:37">
      <c r="B67" s="132" t="s">
        <v>527</v>
      </c>
      <c r="C67" s="133"/>
      <c r="D67" s="133"/>
      <c r="E67" s="133"/>
      <c r="F67" s="133"/>
      <c r="G67" s="134">
        <f ca="1">SUM(G65:R65)</f>
        <v>53011326.72611513</v>
      </c>
    </row>
    <row r="68" spans="2:37">
      <c r="B68" s="135" t="s">
        <v>528</v>
      </c>
      <c r="G68" s="136">
        <f>NPV($R$21,H65:R65)</f>
        <v>37074107.642697245</v>
      </c>
    </row>
    <row r="69" spans="2:37">
      <c r="B69" s="135" t="s">
        <v>529</v>
      </c>
      <c r="G69" s="136">
        <f ca="1">G68+G65</f>
        <v>15588275.130944952</v>
      </c>
    </row>
    <row r="70" spans="2:37">
      <c r="B70" s="135" t="s">
        <v>530</v>
      </c>
      <c r="G70" s="137">
        <f ca="1">IRR(G65:R65)</f>
        <v>0.14919723805396035</v>
      </c>
    </row>
    <row r="71" spans="2:37" ht="15" thickBot="1">
      <c r="B71" s="138" t="s">
        <v>531</v>
      </c>
      <c r="C71" s="139"/>
      <c r="D71" s="139"/>
      <c r="E71" s="139"/>
      <c r="F71" s="139"/>
      <c r="G71" s="140">
        <f ca="1">(G67/-G65)+1</f>
        <v>3.4672689176516229</v>
      </c>
    </row>
    <row r="73" spans="2:37">
      <c r="B73" s="111" t="s">
        <v>532</v>
      </c>
      <c r="G73" s="116">
        <f ca="1">G34</f>
        <v>15040082.758226603</v>
      </c>
    </row>
    <row r="74" spans="2:37">
      <c r="B74" s="111" t="s">
        <v>533</v>
      </c>
      <c r="H74" s="116">
        <f t="shared" ref="H74:R74" si="79">IF(H37=$G$27,FV($G$32/12,H37*12,$G$35,$G$34),0)</f>
        <v>0</v>
      </c>
      <c r="I74" s="116">
        <f t="shared" si="79"/>
        <v>0</v>
      </c>
      <c r="J74" s="116">
        <f t="shared" si="79"/>
        <v>0</v>
      </c>
      <c r="K74" s="116">
        <f t="shared" si="79"/>
        <v>0</v>
      </c>
      <c r="L74" s="116">
        <f t="shared" si="79"/>
        <v>0</v>
      </c>
      <c r="M74" s="116">
        <f t="shared" si="79"/>
        <v>0</v>
      </c>
      <c r="N74" s="116">
        <f t="shared" si="79"/>
        <v>0</v>
      </c>
      <c r="O74" s="116">
        <f t="shared" si="79"/>
        <v>0</v>
      </c>
      <c r="P74" s="116">
        <f t="shared" si="79"/>
        <v>0</v>
      </c>
      <c r="Q74" s="116">
        <f t="shared" ca="1" si="79"/>
        <v>-12233913.816843882</v>
      </c>
      <c r="R74" s="116">
        <f t="shared" si="79"/>
        <v>0</v>
      </c>
      <c r="S74" s="116">
        <f t="shared" ref="S74:AK74" si="80">IF(S37=$G$27,FV($G$32/12,S37*12,$G$35,$G$34),0)</f>
        <v>0</v>
      </c>
      <c r="T74" s="116">
        <f t="shared" si="80"/>
        <v>0</v>
      </c>
      <c r="U74" s="116">
        <f t="shared" si="80"/>
        <v>0</v>
      </c>
      <c r="V74" s="116">
        <f t="shared" si="80"/>
        <v>0</v>
      </c>
      <c r="W74" s="116">
        <f t="shared" si="80"/>
        <v>0</v>
      </c>
      <c r="X74" s="116">
        <f t="shared" si="80"/>
        <v>0</v>
      </c>
      <c r="Y74" s="116">
        <f t="shared" si="80"/>
        <v>0</v>
      </c>
      <c r="Z74" s="116">
        <f t="shared" si="80"/>
        <v>0</v>
      </c>
      <c r="AA74" s="116">
        <f t="shared" si="80"/>
        <v>0</v>
      </c>
      <c r="AB74" s="116">
        <f t="shared" si="80"/>
        <v>0</v>
      </c>
      <c r="AC74" s="116">
        <f t="shared" si="80"/>
        <v>0</v>
      </c>
      <c r="AD74" s="116">
        <f t="shared" si="80"/>
        <v>0</v>
      </c>
      <c r="AE74" s="116">
        <f t="shared" si="80"/>
        <v>0</v>
      </c>
      <c r="AF74" s="116">
        <f t="shared" si="80"/>
        <v>0</v>
      </c>
      <c r="AG74" s="116">
        <f t="shared" si="80"/>
        <v>0</v>
      </c>
      <c r="AH74" s="116">
        <f t="shared" si="80"/>
        <v>0</v>
      </c>
      <c r="AI74" s="116">
        <f t="shared" si="80"/>
        <v>0</v>
      </c>
      <c r="AJ74" s="116">
        <f t="shared" si="80"/>
        <v>0</v>
      </c>
      <c r="AK74" s="116">
        <f t="shared" si="80"/>
        <v>0</v>
      </c>
    </row>
    <row r="75" spans="2:37">
      <c r="B75" s="111" t="s">
        <v>534</v>
      </c>
      <c r="H75" s="116">
        <f ca="1">IF(H37&lt;=$G$27,$G$35*12,0)</f>
        <v>-968860.9963809714</v>
      </c>
      <c r="I75" s="116">
        <f t="shared" ref="I75:R75" ca="1" si="81">IF(I37&lt;=$G$27,$G$35*12,0)</f>
        <v>-968860.9963809714</v>
      </c>
      <c r="J75" s="116">
        <f t="shared" ca="1" si="81"/>
        <v>-968860.9963809714</v>
      </c>
      <c r="K75" s="116">
        <f t="shared" ca="1" si="81"/>
        <v>-968860.9963809714</v>
      </c>
      <c r="L75" s="116">
        <f t="shared" ca="1" si="81"/>
        <v>-968860.9963809714</v>
      </c>
      <c r="M75" s="116">
        <f t="shared" ca="1" si="81"/>
        <v>-968860.9963809714</v>
      </c>
      <c r="N75" s="116">
        <f t="shared" ca="1" si="81"/>
        <v>-968860.9963809714</v>
      </c>
      <c r="O75" s="116">
        <f t="shared" ca="1" si="81"/>
        <v>-968860.9963809714</v>
      </c>
      <c r="P75" s="116">
        <f t="shared" ca="1" si="81"/>
        <v>-968860.9963809714</v>
      </c>
      <c r="Q75" s="116">
        <f t="shared" ca="1" si="81"/>
        <v>-968860.9963809714</v>
      </c>
      <c r="R75" s="116">
        <f t="shared" si="81"/>
        <v>0</v>
      </c>
      <c r="S75" s="116">
        <f t="shared" ref="S75:AK75" si="82">IF(S37&lt;=$G$27,$G$35*12,0)</f>
        <v>0</v>
      </c>
      <c r="T75" s="116">
        <f t="shared" si="82"/>
        <v>0</v>
      </c>
      <c r="U75" s="116">
        <f t="shared" si="82"/>
        <v>0</v>
      </c>
      <c r="V75" s="116">
        <f t="shared" si="82"/>
        <v>0</v>
      </c>
      <c r="W75" s="116">
        <f t="shared" si="82"/>
        <v>0</v>
      </c>
      <c r="X75" s="116">
        <f t="shared" si="82"/>
        <v>0</v>
      </c>
      <c r="Y75" s="116">
        <f t="shared" si="82"/>
        <v>0</v>
      </c>
      <c r="Z75" s="116">
        <f t="shared" si="82"/>
        <v>0</v>
      </c>
      <c r="AA75" s="116">
        <f t="shared" si="82"/>
        <v>0</v>
      </c>
      <c r="AB75" s="116">
        <f t="shared" si="82"/>
        <v>0</v>
      </c>
      <c r="AC75" s="116">
        <f t="shared" si="82"/>
        <v>0</v>
      </c>
      <c r="AD75" s="116">
        <f t="shared" si="82"/>
        <v>0</v>
      </c>
      <c r="AE75" s="116">
        <f t="shared" si="82"/>
        <v>0</v>
      </c>
      <c r="AF75" s="116">
        <f t="shared" si="82"/>
        <v>0</v>
      </c>
      <c r="AG75" s="116">
        <f t="shared" si="82"/>
        <v>0</v>
      </c>
      <c r="AH75" s="116">
        <f t="shared" si="82"/>
        <v>0</v>
      </c>
      <c r="AI75" s="116">
        <f t="shared" si="82"/>
        <v>0</v>
      </c>
      <c r="AJ75" s="116">
        <f t="shared" si="82"/>
        <v>0</v>
      </c>
      <c r="AK75" s="116">
        <f t="shared" si="82"/>
        <v>0</v>
      </c>
    </row>
    <row r="77" spans="2:37">
      <c r="B77" s="111" t="s">
        <v>535</v>
      </c>
      <c r="G77" s="116">
        <f t="shared" ref="G77:R77" ca="1" si="83">IF(G37&lt;=$G$27,SUM(G65,G73:G75),0)</f>
        <v>-6445749.7535256892</v>
      </c>
      <c r="H77" s="116">
        <f t="shared" ca="1" si="83"/>
        <v>-2677674.4484001589</v>
      </c>
      <c r="I77" s="116">
        <f t="shared" ca="1" si="83"/>
        <v>1016927.2528550286</v>
      </c>
      <c r="J77" s="116">
        <f t="shared" ca="1" si="83"/>
        <v>1082487.6361570684</v>
      </c>
      <c r="K77" s="116">
        <f t="shared" ca="1" si="83"/>
        <v>1150134.5656746686</v>
      </c>
      <c r="L77" s="116">
        <f t="shared" ca="1" si="83"/>
        <v>1219933.0324886264</v>
      </c>
      <c r="M77" s="116">
        <f t="shared" ca="1" si="83"/>
        <v>1291950.0253060483</v>
      </c>
      <c r="N77" s="116">
        <f t="shared" ca="1" si="83"/>
        <v>1366254.5913470201</v>
      </c>
      <c r="O77" s="116">
        <f t="shared" ca="1" si="83"/>
        <v>1442917.899077028</v>
      </c>
      <c r="P77" s="116">
        <f t="shared" ca="1" si="83"/>
        <v>1522013.3028408987</v>
      </c>
      <c r="Q77" s="116">
        <f t="shared" ca="1" si="83"/>
        <v>42503025.45666495</v>
      </c>
      <c r="R77" s="116">
        <f t="shared" si="83"/>
        <v>0</v>
      </c>
      <c r="S77" s="116">
        <f t="shared" ref="S77:AK77" si="84">IF(S37&lt;=$G$27,SUM(S65,S73:S75),0)</f>
        <v>0</v>
      </c>
      <c r="T77" s="116">
        <f t="shared" si="84"/>
        <v>0</v>
      </c>
      <c r="U77" s="116">
        <f t="shared" si="84"/>
        <v>0</v>
      </c>
      <c r="V77" s="116">
        <f t="shared" si="84"/>
        <v>0</v>
      </c>
      <c r="W77" s="116">
        <f t="shared" si="84"/>
        <v>0</v>
      </c>
      <c r="X77" s="116">
        <f t="shared" si="84"/>
        <v>0</v>
      </c>
      <c r="Y77" s="116">
        <f t="shared" si="84"/>
        <v>0</v>
      </c>
      <c r="Z77" s="116">
        <f t="shared" si="84"/>
        <v>0</v>
      </c>
      <c r="AA77" s="116">
        <f t="shared" si="84"/>
        <v>0</v>
      </c>
      <c r="AB77" s="116">
        <f t="shared" si="84"/>
        <v>0</v>
      </c>
      <c r="AC77" s="116">
        <f t="shared" si="84"/>
        <v>0</v>
      </c>
      <c r="AD77" s="116">
        <f t="shared" si="84"/>
        <v>0</v>
      </c>
      <c r="AE77" s="116">
        <f t="shared" si="84"/>
        <v>0</v>
      </c>
      <c r="AF77" s="116">
        <f t="shared" si="84"/>
        <v>0</v>
      </c>
      <c r="AG77" s="116">
        <f t="shared" si="84"/>
        <v>0</v>
      </c>
      <c r="AH77" s="116">
        <f t="shared" si="84"/>
        <v>0</v>
      </c>
      <c r="AI77" s="116">
        <f t="shared" si="84"/>
        <v>0</v>
      </c>
      <c r="AJ77" s="116">
        <f t="shared" si="84"/>
        <v>0</v>
      </c>
      <c r="AK77" s="116">
        <f t="shared" si="84"/>
        <v>0</v>
      </c>
    </row>
    <row r="78" spans="2:37" ht="15" thickBot="1"/>
    <row r="79" spans="2:37">
      <c r="B79" s="132" t="s">
        <v>527</v>
      </c>
      <c r="C79" s="133"/>
      <c r="D79" s="133"/>
      <c r="E79" s="133"/>
      <c r="F79" s="133"/>
      <c r="G79" s="134">
        <f ca="1">SUM(G77:R77)</f>
        <v>43472219.56048549</v>
      </c>
    </row>
    <row r="80" spans="2:37">
      <c r="B80" s="135" t="s">
        <v>528</v>
      </c>
      <c r="G80" s="136">
        <f ca="1">NPV($R$21,H77:R77)</f>
        <v>23766903.707167752</v>
      </c>
    </row>
    <row r="81" spans="1:37">
      <c r="B81" s="135" t="s">
        <v>529</v>
      </c>
      <c r="G81" s="136">
        <f ca="1">G80+G77</f>
        <v>17321153.953642063</v>
      </c>
    </row>
    <row r="82" spans="1:37">
      <c r="B82" s="135" t="s">
        <v>536</v>
      </c>
      <c r="G82" s="141">
        <f ca="1">IRR(G77:R77)</f>
        <v>0.23248411811373182</v>
      </c>
    </row>
    <row r="83" spans="1:37" ht="15" thickBot="1">
      <c r="B83" s="138" t="s">
        <v>531</v>
      </c>
      <c r="C83" s="139"/>
      <c r="D83" s="139"/>
      <c r="E83" s="139"/>
      <c r="F83" s="139"/>
      <c r="G83" s="140">
        <f ca="1">(G79/-G77)+1</f>
        <v>7.744323193233976</v>
      </c>
    </row>
    <row r="85" spans="1:37" s="113" customFormat="1">
      <c r="A85" s="142" t="s">
        <v>472</v>
      </c>
      <c r="B85" s="113" t="s">
        <v>585</v>
      </c>
      <c r="H85" s="129">
        <f t="shared" ref="H85:R85" si="85">H37</f>
        <v>1</v>
      </c>
      <c r="I85" s="129">
        <f t="shared" si="85"/>
        <v>2</v>
      </c>
      <c r="J85" s="129">
        <f t="shared" si="85"/>
        <v>3</v>
      </c>
      <c r="K85" s="129">
        <f t="shared" si="85"/>
        <v>4</v>
      </c>
      <c r="L85" s="129">
        <f t="shared" si="85"/>
        <v>5</v>
      </c>
      <c r="M85" s="129">
        <f t="shared" si="85"/>
        <v>6</v>
      </c>
      <c r="N85" s="129">
        <f t="shared" si="85"/>
        <v>7</v>
      </c>
      <c r="O85" s="129">
        <f t="shared" si="85"/>
        <v>8</v>
      </c>
      <c r="P85" s="129">
        <f t="shared" si="85"/>
        <v>9</v>
      </c>
      <c r="Q85" s="129">
        <f t="shared" si="85"/>
        <v>10</v>
      </c>
      <c r="R85" s="129">
        <f t="shared" si="85"/>
        <v>11</v>
      </c>
      <c r="S85" s="129">
        <f t="shared" ref="S85:AK85" si="86">S37</f>
        <v>12</v>
      </c>
      <c r="T85" s="129">
        <f t="shared" si="86"/>
        <v>13</v>
      </c>
      <c r="U85" s="129">
        <f t="shared" si="86"/>
        <v>14</v>
      </c>
      <c r="V85" s="129">
        <f t="shared" si="86"/>
        <v>15</v>
      </c>
      <c r="W85" s="129">
        <f t="shared" si="86"/>
        <v>16</v>
      </c>
      <c r="X85" s="129">
        <f t="shared" si="86"/>
        <v>17</v>
      </c>
      <c r="Y85" s="129">
        <f t="shared" si="86"/>
        <v>18</v>
      </c>
      <c r="Z85" s="129">
        <f t="shared" si="86"/>
        <v>19</v>
      </c>
      <c r="AA85" s="129">
        <f t="shared" si="86"/>
        <v>20</v>
      </c>
      <c r="AB85" s="129">
        <f t="shared" si="86"/>
        <v>21</v>
      </c>
      <c r="AC85" s="129">
        <f t="shared" si="86"/>
        <v>22</v>
      </c>
      <c r="AD85" s="129">
        <f t="shared" si="86"/>
        <v>23</v>
      </c>
      <c r="AE85" s="129">
        <f t="shared" si="86"/>
        <v>24</v>
      </c>
      <c r="AF85" s="129">
        <f t="shared" si="86"/>
        <v>25</v>
      </c>
      <c r="AG85" s="129">
        <f t="shared" si="86"/>
        <v>26</v>
      </c>
      <c r="AH85" s="129">
        <f t="shared" si="86"/>
        <v>27</v>
      </c>
      <c r="AI85" s="129">
        <f t="shared" si="86"/>
        <v>28</v>
      </c>
      <c r="AJ85" s="129">
        <f t="shared" si="86"/>
        <v>29</v>
      </c>
      <c r="AK85" s="129">
        <f t="shared" si="86"/>
        <v>30</v>
      </c>
    </row>
    <row r="86" spans="1:37">
      <c r="B86" s="111" t="s">
        <v>586</v>
      </c>
      <c r="H86" s="117">
        <f t="shared" ref="H86:R86" si="87">H42/$G$12</f>
        <v>30.579999999999995</v>
      </c>
      <c r="I86" s="117">
        <f t="shared" si="87"/>
        <v>31.497399999999995</v>
      </c>
      <c r="J86" s="117">
        <f t="shared" si="87"/>
        <v>32.442321999999997</v>
      </c>
      <c r="K86" s="117">
        <f t="shared" si="87"/>
        <v>33.415591659999997</v>
      </c>
      <c r="L86" s="117">
        <f t="shared" si="87"/>
        <v>34.418059409799994</v>
      </c>
      <c r="M86" s="117">
        <f t="shared" si="87"/>
        <v>35.450601192093991</v>
      </c>
      <c r="N86" s="117">
        <f t="shared" si="87"/>
        <v>36.514119227856817</v>
      </c>
      <c r="O86" s="117">
        <f t="shared" si="87"/>
        <v>37.609542804692524</v>
      </c>
      <c r="P86" s="117">
        <f t="shared" si="87"/>
        <v>38.737829088833287</v>
      </c>
      <c r="Q86" s="117">
        <f t="shared" si="87"/>
        <v>39.899963961498287</v>
      </c>
      <c r="R86" s="117">
        <f t="shared" si="87"/>
        <v>41.096962880343241</v>
      </c>
      <c r="S86" s="117">
        <f t="shared" ref="S86:AK86" si="88">S42/$G$12</f>
        <v>42.329871766753534</v>
      </c>
      <c r="T86" s="117">
        <f t="shared" si="88"/>
        <v>43.59976791975614</v>
      </c>
      <c r="U86" s="117">
        <f t="shared" si="88"/>
        <v>44.90776095734882</v>
      </c>
      <c r="V86" s="117">
        <f t="shared" si="88"/>
        <v>46.254993786069285</v>
      </c>
      <c r="W86" s="117">
        <f t="shared" si="88"/>
        <v>47.642643599651372</v>
      </c>
      <c r="X86" s="117">
        <f t="shared" si="88"/>
        <v>49.071922907640904</v>
      </c>
      <c r="Y86" s="117">
        <f t="shared" si="88"/>
        <v>50.544080594870131</v>
      </c>
      <c r="Z86" s="117">
        <f t="shared" si="88"/>
        <v>52.060403012716236</v>
      </c>
      <c r="AA86" s="117">
        <f t="shared" si="88"/>
        <v>53.622215103097723</v>
      </c>
      <c r="AB86" s="117">
        <f t="shared" si="88"/>
        <v>55.230881556190653</v>
      </c>
      <c r="AC86" s="117">
        <f t="shared" si="88"/>
        <v>56.887808002876362</v>
      </c>
      <c r="AD86" s="117">
        <f t="shared" si="88"/>
        <v>58.594442242962657</v>
      </c>
      <c r="AE86" s="117">
        <f t="shared" si="88"/>
        <v>60.352275510251538</v>
      </c>
      <c r="AF86" s="117">
        <f t="shared" si="88"/>
        <v>62.162843775559075</v>
      </c>
      <c r="AG86" s="117">
        <f t="shared" si="88"/>
        <v>64.027729088825851</v>
      </c>
      <c r="AH86" s="117">
        <f t="shared" si="88"/>
        <v>65.948560961490628</v>
      </c>
      <c r="AI86" s="117">
        <f t="shared" si="88"/>
        <v>67.927017790335341</v>
      </c>
      <c r="AJ86" s="117">
        <f t="shared" si="88"/>
        <v>69.964828324045413</v>
      </c>
      <c r="AK86" s="117">
        <f t="shared" si="88"/>
        <v>72.063773173766762</v>
      </c>
    </row>
    <row r="87" spans="1:37">
      <c r="B87" s="111" t="s">
        <v>573</v>
      </c>
      <c r="H87" s="117">
        <f t="shared" ref="H87:R87" si="89">H44/$G$12</f>
        <v>0</v>
      </c>
      <c r="I87" s="117">
        <f t="shared" si="89"/>
        <v>0</v>
      </c>
      <c r="J87" s="117">
        <f t="shared" si="89"/>
        <v>0</v>
      </c>
      <c r="K87" s="117">
        <f t="shared" si="89"/>
        <v>0</v>
      </c>
      <c r="L87" s="117">
        <f t="shared" si="89"/>
        <v>0</v>
      </c>
      <c r="M87" s="117">
        <f t="shared" si="89"/>
        <v>0</v>
      </c>
      <c r="N87" s="117">
        <f t="shared" si="89"/>
        <v>0</v>
      </c>
      <c r="O87" s="117">
        <f t="shared" si="89"/>
        <v>0</v>
      </c>
      <c r="P87" s="117">
        <f t="shared" si="89"/>
        <v>0</v>
      </c>
      <c r="Q87" s="117">
        <f t="shared" si="89"/>
        <v>0</v>
      </c>
      <c r="R87" s="117">
        <f t="shared" si="89"/>
        <v>0</v>
      </c>
      <c r="S87" s="117">
        <f t="shared" ref="S87:AK87" si="90">S44/$G$12</f>
        <v>0</v>
      </c>
      <c r="T87" s="117">
        <f t="shared" si="90"/>
        <v>0</v>
      </c>
      <c r="U87" s="117">
        <f t="shared" si="90"/>
        <v>0</v>
      </c>
      <c r="V87" s="117">
        <f t="shared" si="90"/>
        <v>0</v>
      </c>
      <c r="W87" s="117">
        <f t="shared" si="90"/>
        <v>0</v>
      </c>
      <c r="X87" s="117">
        <f t="shared" si="90"/>
        <v>0</v>
      </c>
      <c r="Y87" s="117">
        <f t="shared" si="90"/>
        <v>0</v>
      </c>
      <c r="Z87" s="117">
        <f t="shared" si="90"/>
        <v>0</v>
      </c>
      <c r="AA87" s="117">
        <f t="shared" si="90"/>
        <v>0</v>
      </c>
      <c r="AB87" s="117">
        <f t="shared" si="90"/>
        <v>0</v>
      </c>
      <c r="AC87" s="117">
        <f t="shared" si="90"/>
        <v>0</v>
      </c>
      <c r="AD87" s="117">
        <f t="shared" si="90"/>
        <v>0</v>
      </c>
      <c r="AE87" s="117">
        <f t="shared" si="90"/>
        <v>0</v>
      </c>
      <c r="AF87" s="117">
        <f t="shared" si="90"/>
        <v>0</v>
      </c>
      <c r="AG87" s="117">
        <f t="shared" si="90"/>
        <v>0</v>
      </c>
      <c r="AH87" s="117">
        <f t="shared" si="90"/>
        <v>0</v>
      </c>
      <c r="AI87" s="117">
        <f t="shared" si="90"/>
        <v>0</v>
      </c>
      <c r="AJ87" s="117">
        <f t="shared" si="90"/>
        <v>0</v>
      </c>
      <c r="AK87" s="117">
        <f t="shared" si="90"/>
        <v>0</v>
      </c>
    </row>
    <row r="88" spans="1:37">
      <c r="B88" s="111" t="s">
        <v>16</v>
      </c>
      <c r="H88" s="117">
        <f>H86-H87</f>
        <v>30.579999999999995</v>
      </c>
      <c r="I88" s="117">
        <f t="shared" ref="I88:R88" si="91">I86-I87</f>
        <v>31.497399999999995</v>
      </c>
      <c r="J88" s="117">
        <f t="shared" si="91"/>
        <v>32.442321999999997</v>
      </c>
      <c r="K88" s="117">
        <f t="shared" si="91"/>
        <v>33.415591659999997</v>
      </c>
      <c r="L88" s="117">
        <f t="shared" si="91"/>
        <v>34.418059409799994</v>
      </c>
      <c r="M88" s="117">
        <f t="shared" si="91"/>
        <v>35.450601192093991</v>
      </c>
      <c r="N88" s="117">
        <f t="shared" si="91"/>
        <v>36.514119227856817</v>
      </c>
      <c r="O88" s="117">
        <f t="shared" si="91"/>
        <v>37.609542804692524</v>
      </c>
      <c r="P88" s="117">
        <f t="shared" si="91"/>
        <v>38.737829088833287</v>
      </c>
      <c r="Q88" s="117">
        <f t="shared" si="91"/>
        <v>39.899963961498287</v>
      </c>
      <c r="R88" s="117">
        <f t="shared" si="91"/>
        <v>41.096962880343241</v>
      </c>
      <c r="S88" s="117">
        <f t="shared" ref="S88:AK88" si="92">S86-S87</f>
        <v>42.329871766753534</v>
      </c>
      <c r="T88" s="117">
        <f t="shared" si="92"/>
        <v>43.59976791975614</v>
      </c>
      <c r="U88" s="117">
        <f t="shared" si="92"/>
        <v>44.90776095734882</v>
      </c>
      <c r="V88" s="117">
        <f t="shared" si="92"/>
        <v>46.254993786069285</v>
      </c>
      <c r="W88" s="117">
        <f t="shared" si="92"/>
        <v>47.642643599651372</v>
      </c>
      <c r="X88" s="117">
        <f t="shared" si="92"/>
        <v>49.071922907640904</v>
      </c>
      <c r="Y88" s="117">
        <f t="shared" si="92"/>
        <v>50.544080594870131</v>
      </c>
      <c r="Z88" s="117">
        <f t="shared" si="92"/>
        <v>52.060403012716236</v>
      </c>
      <c r="AA88" s="117">
        <f t="shared" si="92"/>
        <v>53.622215103097723</v>
      </c>
      <c r="AB88" s="117">
        <f t="shared" si="92"/>
        <v>55.230881556190653</v>
      </c>
      <c r="AC88" s="117">
        <f t="shared" si="92"/>
        <v>56.887808002876362</v>
      </c>
      <c r="AD88" s="117">
        <f t="shared" si="92"/>
        <v>58.594442242962657</v>
      </c>
      <c r="AE88" s="117">
        <f t="shared" si="92"/>
        <v>60.352275510251538</v>
      </c>
      <c r="AF88" s="117">
        <f t="shared" si="92"/>
        <v>62.162843775559075</v>
      </c>
      <c r="AG88" s="117">
        <f t="shared" si="92"/>
        <v>64.027729088825851</v>
      </c>
      <c r="AH88" s="117">
        <f t="shared" si="92"/>
        <v>65.948560961490628</v>
      </c>
      <c r="AI88" s="117">
        <f t="shared" si="92"/>
        <v>67.927017790335341</v>
      </c>
      <c r="AJ88" s="117">
        <f t="shared" si="92"/>
        <v>69.964828324045413</v>
      </c>
      <c r="AK88" s="117">
        <f t="shared" si="92"/>
        <v>72.063773173766762</v>
      </c>
    </row>
    <row r="89" spans="1:37">
      <c r="B89" s="111" t="s">
        <v>587</v>
      </c>
      <c r="H89" s="130">
        <f>$G$23</f>
        <v>0.06</v>
      </c>
      <c r="I89" s="130">
        <f t="shared" ref="I89:AK89" si="93">$G$23</f>
        <v>0.06</v>
      </c>
      <c r="J89" s="130">
        <f t="shared" si="93"/>
        <v>0.06</v>
      </c>
      <c r="K89" s="130">
        <f t="shared" si="93"/>
        <v>0.06</v>
      </c>
      <c r="L89" s="130">
        <f t="shared" si="93"/>
        <v>0.06</v>
      </c>
      <c r="M89" s="130">
        <f t="shared" si="93"/>
        <v>0.06</v>
      </c>
      <c r="N89" s="130">
        <f t="shared" si="93"/>
        <v>0.06</v>
      </c>
      <c r="O89" s="130">
        <f t="shared" si="93"/>
        <v>0.06</v>
      </c>
      <c r="P89" s="130">
        <f t="shared" si="93"/>
        <v>0.06</v>
      </c>
      <c r="Q89" s="130">
        <f t="shared" si="93"/>
        <v>0.06</v>
      </c>
      <c r="R89" s="130">
        <f t="shared" si="93"/>
        <v>0.06</v>
      </c>
      <c r="S89" s="130">
        <f t="shared" si="93"/>
        <v>0.06</v>
      </c>
      <c r="T89" s="130">
        <f t="shared" si="93"/>
        <v>0.06</v>
      </c>
      <c r="U89" s="130">
        <f t="shared" si="93"/>
        <v>0.06</v>
      </c>
      <c r="V89" s="130">
        <f t="shared" si="93"/>
        <v>0.06</v>
      </c>
      <c r="W89" s="130">
        <f t="shared" si="93"/>
        <v>0.06</v>
      </c>
      <c r="X89" s="130">
        <f t="shared" si="93"/>
        <v>0.06</v>
      </c>
      <c r="Y89" s="130">
        <f t="shared" si="93"/>
        <v>0.06</v>
      </c>
      <c r="Z89" s="130">
        <f t="shared" si="93"/>
        <v>0.06</v>
      </c>
      <c r="AA89" s="130">
        <f t="shared" si="93"/>
        <v>0.06</v>
      </c>
      <c r="AB89" s="130">
        <f t="shared" si="93"/>
        <v>0.06</v>
      </c>
      <c r="AC89" s="130">
        <f t="shared" si="93"/>
        <v>0.06</v>
      </c>
      <c r="AD89" s="130">
        <f t="shared" si="93"/>
        <v>0.06</v>
      </c>
      <c r="AE89" s="130">
        <f t="shared" si="93"/>
        <v>0.06</v>
      </c>
      <c r="AF89" s="130">
        <f t="shared" si="93"/>
        <v>0.06</v>
      </c>
      <c r="AG89" s="130">
        <f t="shared" si="93"/>
        <v>0.06</v>
      </c>
      <c r="AH89" s="130">
        <f t="shared" si="93"/>
        <v>0.06</v>
      </c>
      <c r="AI89" s="130">
        <f t="shared" si="93"/>
        <v>0.06</v>
      </c>
      <c r="AJ89" s="130">
        <f t="shared" si="93"/>
        <v>0.06</v>
      </c>
      <c r="AK89" s="130">
        <f t="shared" si="93"/>
        <v>0.06</v>
      </c>
    </row>
    <row r="90" spans="1:37">
      <c r="B90" s="111" t="s">
        <v>556</v>
      </c>
      <c r="H90" s="117">
        <f>H88*H89</f>
        <v>1.8347999999999995</v>
      </c>
      <c r="I90" s="117">
        <f t="shared" ref="I90:R90" si="94">I88*I89</f>
        <v>1.8898439999999996</v>
      </c>
      <c r="J90" s="117">
        <f t="shared" si="94"/>
        <v>1.9465393199999999</v>
      </c>
      <c r="K90" s="117">
        <f t="shared" si="94"/>
        <v>2.0049354995999997</v>
      </c>
      <c r="L90" s="117">
        <f t="shared" si="94"/>
        <v>2.0650835645879995</v>
      </c>
      <c r="M90" s="117">
        <f t="shared" si="94"/>
        <v>2.1270360715256396</v>
      </c>
      <c r="N90" s="117">
        <f t="shared" si="94"/>
        <v>2.1908471536714091</v>
      </c>
      <c r="O90" s="117">
        <f t="shared" si="94"/>
        <v>2.2565725682815514</v>
      </c>
      <c r="P90" s="117">
        <f t="shared" si="94"/>
        <v>2.324269745329997</v>
      </c>
      <c r="Q90" s="117">
        <f t="shared" si="94"/>
        <v>2.3939978376898972</v>
      </c>
      <c r="R90" s="117">
        <f t="shared" si="94"/>
        <v>2.4658177728205946</v>
      </c>
      <c r="S90" s="117">
        <f t="shared" ref="S90:AK90" si="95">S88*S89</f>
        <v>2.5397923060052121</v>
      </c>
      <c r="T90" s="117">
        <f t="shared" si="95"/>
        <v>2.6159860751853681</v>
      </c>
      <c r="U90" s="117">
        <f t="shared" si="95"/>
        <v>2.6944656574409289</v>
      </c>
      <c r="V90" s="117">
        <f t="shared" si="95"/>
        <v>2.775299627164157</v>
      </c>
      <c r="W90" s="117">
        <f t="shared" si="95"/>
        <v>2.8585586159790823</v>
      </c>
      <c r="X90" s="117">
        <f t="shared" si="95"/>
        <v>2.944315374458454</v>
      </c>
      <c r="Y90" s="117">
        <f t="shared" si="95"/>
        <v>3.0326448356922078</v>
      </c>
      <c r="Z90" s="117">
        <f t="shared" si="95"/>
        <v>3.1236241807629739</v>
      </c>
      <c r="AA90" s="117">
        <f t="shared" si="95"/>
        <v>3.2173329061858631</v>
      </c>
      <c r="AB90" s="117">
        <f t="shared" si="95"/>
        <v>3.3138528933714388</v>
      </c>
      <c r="AC90" s="117">
        <f t="shared" si="95"/>
        <v>3.4132684801725817</v>
      </c>
      <c r="AD90" s="117">
        <f t="shared" si="95"/>
        <v>3.5156665345777594</v>
      </c>
      <c r="AE90" s="117">
        <f t="shared" si="95"/>
        <v>3.6211365306150922</v>
      </c>
      <c r="AF90" s="117">
        <f t="shared" si="95"/>
        <v>3.7297706265335444</v>
      </c>
      <c r="AG90" s="117">
        <f t="shared" si="95"/>
        <v>3.841663745329551</v>
      </c>
      <c r="AH90" s="117">
        <f t="shared" si="95"/>
        <v>3.9569136576894377</v>
      </c>
      <c r="AI90" s="117">
        <f t="shared" si="95"/>
        <v>4.0756210674201201</v>
      </c>
      <c r="AJ90" s="117">
        <f t="shared" si="95"/>
        <v>4.1978896994427251</v>
      </c>
      <c r="AK90" s="117">
        <f t="shared" si="95"/>
        <v>4.3238263904260057</v>
      </c>
    </row>
    <row r="92" spans="1:37">
      <c r="A92" s="111" t="s">
        <v>472</v>
      </c>
      <c r="B92" s="113" t="s">
        <v>588</v>
      </c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5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</row>
    <row r="93" spans="1:37">
      <c r="F93" s="698" t="s">
        <v>589</v>
      </c>
      <c r="G93" s="698"/>
      <c r="H93" s="698"/>
      <c r="I93" s="698"/>
      <c r="J93" s="698"/>
    </row>
    <row r="94" spans="1:37">
      <c r="E94" s="143">
        <f ca="1">G82</f>
        <v>0.23248411811373182</v>
      </c>
      <c r="F94" s="112">
        <v>3</v>
      </c>
      <c r="G94" s="112">
        <v>4</v>
      </c>
      <c r="H94" s="112">
        <v>5</v>
      </c>
      <c r="I94" s="112">
        <v>6</v>
      </c>
      <c r="J94" s="112">
        <v>7</v>
      </c>
    </row>
    <row r="95" spans="1:37">
      <c r="C95" s="699" t="s">
        <v>390</v>
      </c>
      <c r="D95" s="699"/>
      <c r="E95" s="144">
        <v>0.05</v>
      </c>
      <c r="F95" s="145">
        <f t="dataTable" ref="F95:J99" dt2D="1" dtr="1" r1="G27" r2="G25" ca="1"/>
        <v>0.61716390602547722</v>
      </c>
      <c r="G95" s="146">
        <v>0.47304365908816681</v>
      </c>
      <c r="H95" s="146">
        <v>0.39457748392245939</v>
      </c>
      <c r="I95" s="146">
        <v>0.34535253261670307</v>
      </c>
      <c r="J95" s="147">
        <v>0.31164123500292495</v>
      </c>
    </row>
    <row r="96" spans="1:37">
      <c r="C96" s="699"/>
      <c r="D96" s="699"/>
      <c r="E96" s="144">
        <v>5.2499999999999998E-2</v>
      </c>
      <c r="F96" s="148">
        <v>0.57883971996461869</v>
      </c>
      <c r="G96" s="145">
        <v>0.4485067639122946</v>
      </c>
      <c r="H96" s="146">
        <v>0.37710999628687714</v>
      </c>
      <c r="I96" s="147">
        <v>0.33212790764654065</v>
      </c>
      <c r="J96" s="149">
        <v>0.3012203931486892</v>
      </c>
    </row>
    <row r="97" spans="3:11">
      <c r="C97" s="699"/>
      <c r="D97" s="699"/>
      <c r="E97" s="144">
        <v>5.5E-2</v>
      </c>
      <c r="F97" s="148">
        <v>0.54234808451314742</v>
      </c>
      <c r="G97" s="148">
        <v>0.42506199544711509</v>
      </c>
      <c r="H97" s="150">
        <v>0.36040391633472812</v>
      </c>
      <c r="I97" s="149">
        <v>0.31948251692369323</v>
      </c>
      <c r="J97" s="149">
        <v>0.2912643565415578</v>
      </c>
      <c r="K97" s="128"/>
    </row>
    <row r="98" spans="3:11">
      <c r="C98" s="699"/>
      <c r="D98" s="699"/>
      <c r="E98" s="144">
        <v>5.7500000000000002E-2</v>
      </c>
      <c r="F98" s="148">
        <v>0.50748867674416331</v>
      </c>
      <c r="G98" s="151">
        <v>0.40259300875434434</v>
      </c>
      <c r="H98" s="152">
        <v>0.34438028743994353</v>
      </c>
      <c r="I98" s="153">
        <v>0.30735780853826133</v>
      </c>
      <c r="J98" s="149">
        <v>0.28172716307464052</v>
      </c>
    </row>
    <row r="99" spans="3:11">
      <c r="C99" s="699"/>
      <c r="D99" s="699"/>
      <c r="E99" s="144">
        <v>0.06</v>
      </c>
      <c r="F99" s="151">
        <v>0.47408836748626815</v>
      </c>
      <c r="G99" s="152">
        <v>0.38099892750962794</v>
      </c>
      <c r="H99" s="152">
        <v>0.32897058726431783</v>
      </c>
      <c r="I99" s="152">
        <v>0.29570296400100848</v>
      </c>
      <c r="J99" s="153">
        <v>0.2725689270765661</v>
      </c>
    </row>
  </sheetData>
  <mergeCells count="2">
    <mergeCell ref="F93:J93"/>
    <mergeCell ref="C95:D99"/>
  </mergeCells>
  <conditionalFormatting sqref="F95:J9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D8EDD-A30E-4BF2-B417-F976C64DFDC0}">
  <sheetPr>
    <tabColor rgb="FFFFC000"/>
    <pageSetUpPr fitToPage="1"/>
  </sheetPr>
  <dimension ref="A1:L49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14.6640625" bestFit="1" customWidth="1"/>
    <col min="3" max="3" width="16.109375" style="4" customWidth="1"/>
    <col min="4" max="4" width="11.44140625" bestFit="1" customWidth="1"/>
    <col min="5" max="5" width="5.44140625" customWidth="1"/>
    <col min="6" max="6" width="27.6640625" bestFit="1" customWidth="1"/>
    <col min="7" max="7" width="16" style="4" bestFit="1" customWidth="1"/>
    <col min="8" max="8" width="16.5546875" bestFit="1" customWidth="1"/>
    <col min="9" max="9" width="14.44140625" style="4" bestFit="1" customWidth="1"/>
    <col min="10" max="10" width="14.33203125" bestFit="1" customWidth="1"/>
    <col min="11" max="11" width="15.5546875" bestFit="1" customWidth="1"/>
    <col min="12" max="12" width="14.33203125" bestFit="1" customWidth="1"/>
    <col min="13" max="13" width="15.5546875" bestFit="1" customWidth="1"/>
    <col min="14" max="14" width="14.21875" bestFit="1" customWidth="1"/>
  </cols>
  <sheetData>
    <row r="1" spans="1:9">
      <c r="A1" s="1"/>
    </row>
    <row r="2" spans="1:9">
      <c r="A2" s="1"/>
    </row>
    <row r="3" spans="1:9">
      <c r="A3" s="1"/>
    </row>
    <row r="4" spans="1:9">
      <c r="A4" s="1"/>
    </row>
    <row r="5" spans="1:9">
      <c r="A5" s="1"/>
    </row>
    <row r="6" spans="1:9">
      <c r="A6" s="1"/>
    </row>
    <row r="7" spans="1:9">
      <c r="A7" s="1"/>
    </row>
    <row r="8" spans="1:9">
      <c r="A8" s="1"/>
      <c r="B8" s="445" t="s">
        <v>762</v>
      </c>
    </row>
    <row r="9" spans="1:9">
      <c r="A9" s="1"/>
    </row>
    <row r="10" spans="1:9" ht="17.399999999999999">
      <c r="B10" s="200" t="s">
        <v>638</v>
      </c>
      <c r="C10" s="198"/>
      <c r="D10" s="199"/>
      <c r="E10" s="199"/>
      <c r="F10" s="199"/>
      <c r="G10" s="198"/>
      <c r="H10" s="199"/>
      <c r="I10" s="198"/>
    </row>
    <row r="11" spans="1:9">
      <c r="B11" s="1"/>
    </row>
    <row r="12" spans="1:9" ht="14.4">
      <c r="B12" s="11" t="s">
        <v>646</v>
      </c>
      <c r="C12" s="12"/>
      <c r="D12" s="39" t="s">
        <v>442</v>
      </c>
      <c r="E12" s="104"/>
      <c r="F12" s="11" t="s">
        <v>647</v>
      </c>
      <c r="G12" s="52"/>
      <c r="H12" s="12"/>
      <c r="I12" s="52"/>
    </row>
    <row r="13" spans="1:9" ht="14.4">
      <c r="B13" t="s">
        <v>399</v>
      </c>
      <c r="D13" s="50">
        <f>Parcels!N97</f>
        <v>451919</v>
      </c>
      <c r="E13" s="104"/>
      <c r="F13" s="44" t="s">
        <v>449</v>
      </c>
      <c r="G13" s="45" t="s">
        <v>32</v>
      </c>
      <c r="H13" s="45" t="s">
        <v>450</v>
      </c>
      <c r="I13" s="45" t="s">
        <v>451</v>
      </c>
    </row>
    <row r="14" spans="1:9">
      <c r="B14" t="s">
        <v>400</v>
      </c>
      <c r="D14" s="61" t="s">
        <v>789</v>
      </c>
      <c r="E14" s="104"/>
      <c r="F14" t="s">
        <v>452</v>
      </c>
      <c r="G14" s="51">
        <f>Parcels!S97</f>
        <v>104048017</v>
      </c>
      <c r="H14" s="46">
        <f t="shared" ref="H14:H19" ca="1" si="0">G14/$G$20</f>
        <v>0.19147134563355145</v>
      </c>
      <c r="I14" s="47">
        <f t="shared" ref="I14:I19" si="1">G14/$D$16</f>
        <v>55.478551079510275</v>
      </c>
    </row>
    <row r="15" spans="1:9">
      <c r="B15" t="s">
        <v>401</v>
      </c>
      <c r="D15" s="569">
        <v>4.1500000000000004</v>
      </c>
      <c r="E15" s="104"/>
      <c r="F15" t="s">
        <v>395</v>
      </c>
      <c r="G15" s="51">
        <f ca="1">'Area Matrix'!D62</f>
        <v>281408888.98309618</v>
      </c>
      <c r="H15" s="46">
        <f t="shared" ca="1" si="0"/>
        <v>0.51785454639501793</v>
      </c>
      <c r="I15" s="47">
        <f t="shared" ca="1" si="1"/>
        <v>150.04762101018164</v>
      </c>
    </row>
    <row r="16" spans="1:9">
      <c r="B16" t="s">
        <v>402</v>
      </c>
      <c r="D16" s="33">
        <f>D13*D15</f>
        <v>1875463.85</v>
      </c>
      <c r="E16" s="104"/>
      <c r="F16" t="s">
        <v>410</v>
      </c>
      <c r="G16" s="51">
        <f ca="1">'Area Matrix'!H62</f>
        <v>42211333.347464427</v>
      </c>
      <c r="H16" s="46">
        <f t="shared" ca="1" si="0"/>
        <v>7.767818195925269E-2</v>
      </c>
      <c r="I16" s="47">
        <f t="shared" ca="1" si="1"/>
        <v>22.507143151527249</v>
      </c>
    </row>
    <row r="17" spans="2:12">
      <c r="F17" s="1" t="s">
        <v>9</v>
      </c>
      <c r="G17" s="51">
        <f>'Phase II - Pro Forma'!D21</f>
        <v>17890286.172824454</v>
      </c>
      <c r="H17" s="46">
        <f t="shared" ca="1" si="0"/>
        <v>3.2922080266844657E-2</v>
      </c>
      <c r="I17" s="47">
        <f t="shared" si="1"/>
        <v>9.5391261062293751</v>
      </c>
    </row>
    <row r="18" spans="2:12">
      <c r="F18" t="s">
        <v>426</v>
      </c>
      <c r="G18" s="197">
        <f ca="1">'Phase II - Pro Forma'!D59</f>
        <v>3532184.4543484007</v>
      </c>
      <c r="H18" s="46">
        <f t="shared" ca="1" si="0"/>
        <v>6.4999999999999997E-3</v>
      </c>
      <c r="I18" s="47">
        <f t="shared" ca="1" si="1"/>
        <v>1.8833657894010596</v>
      </c>
    </row>
    <row r="19" spans="2:12" ht="14.4">
      <c r="B19" s="11" t="s">
        <v>443</v>
      </c>
      <c r="C19" s="12"/>
      <c r="D19" s="12"/>
      <c r="F19" t="s">
        <v>398</v>
      </c>
      <c r="G19" s="197">
        <f ca="1">'Phase II - Pro Forma'!D61</f>
        <v>94322283.018943623</v>
      </c>
      <c r="H19" s="46">
        <f t="shared" ca="1" si="0"/>
        <v>0.17357384574533327</v>
      </c>
      <c r="I19" s="47">
        <f t="shared" ca="1" si="1"/>
        <v>50.29277584792883</v>
      </c>
      <c r="L19" s="35"/>
    </row>
    <row r="20" spans="2:12" ht="14.4">
      <c r="B20" s="1" t="s">
        <v>392</v>
      </c>
      <c r="D20" s="192">
        <v>2020</v>
      </c>
      <c r="F20" s="9" t="s">
        <v>453</v>
      </c>
      <c r="G20" s="48">
        <f ca="1">SUM(G14:G19)</f>
        <v>543412992.97667706</v>
      </c>
      <c r="H20" s="472">
        <f ca="1">SUM(H14:H19)</f>
        <v>1</v>
      </c>
      <c r="I20" s="49"/>
      <c r="L20" s="35"/>
    </row>
    <row r="21" spans="2:12" ht="14.4">
      <c r="B21" s="1" t="s">
        <v>448</v>
      </c>
      <c r="C21"/>
      <c r="D21" s="192">
        <v>2025</v>
      </c>
      <c r="L21" s="36"/>
    </row>
    <row r="22" spans="2:12" ht="14.4">
      <c r="B22" s="1" t="s">
        <v>632</v>
      </c>
      <c r="C22"/>
      <c r="D22" s="41">
        <v>3</v>
      </c>
      <c r="F22" s="11" t="s">
        <v>648</v>
      </c>
      <c r="G22" s="52"/>
      <c r="H22" s="12"/>
      <c r="I22" s="52"/>
      <c r="L22" s="37"/>
    </row>
    <row r="23" spans="2:12" ht="14.4">
      <c r="B23" t="s">
        <v>403</v>
      </c>
      <c r="C23"/>
      <c r="D23" s="191">
        <f>SUM(D21:D22)</f>
        <v>2028</v>
      </c>
      <c r="F23" s="1" t="s">
        <v>28</v>
      </c>
      <c r="G23" s="51">
        <f ca="1">G20-G27-G24-G25-G26</f>
        <v>136442784.82219931</v>
      </c>
      <c r="H23" s="46">
        <f ca="1">G23/$G$28</f>
        <v>0.25108487758969605</v>
      </c>
      <c r="L23" s="38"/>
    </row>
    <row r="24" spans="2:12" ht="14.4">
      <c r="B24" s="1" t="s">
        <v>679</v>
      </c>
      <c r="C24"/>
      <c r="D24" s="41">
        <v>1</v>
      </c>
      <c r="F24" s="209" t="s">
        <v>652</v>
      </c>
      <c r="G24" s="197">
        <f ca="1">'Phase II - CF Affordable Rental'!R24</f>
        <v>6912706.0365730505</v>
      </c>
      <c r="H24" s="46">
        <f ca="1">G24/$G$28</f>
        <v>1.2720906798173925E-2</v>
      </c>
      <c r="I24" s="215"/>
      <c r="L24" s="38"/>
    </row>
    <row r="25" spans="2:12" s="178" customFormat="1" ht="14.4">
      <c r="B25" s="178" t="s">
        <v>404</v>
      </c>
      <c r="D25" s="434">
        <f>SUM(D23:D24)</f>
        <v>2029</v>
      </c>
      <c r="F25" s="209" t="s">
        <v>727</v>
      </c>
      <c r="G25" s="261">
        <f ca="1">Taxes!AD56</f>
        <v>35339056.683064602</v>
      </c>
      <c r="H25" s="46">
        <f ca="1">G25/$G$28</f>
        <v>6.5031674140668419E-2</v>
      </c>
      <c r="I25" s="4"/>
      <c r="J25"/>
      <c r="K25"/>
      <c r="L25" s="38"/>
    </row>
    <row r="26" spans="2:12" ht="14.4">
      <c r="B26" s="1" t="s">
        <v>678</v>
      </c>
      <c r="C26"/>
      <c r="D26" s="41">
        <v>2</v>
      </c>
      <c r="F26" s="209" t="s">
        <v>730</v>
      </c>
      <c r="G26" s="197">
        <f>23000000/2</f>
        <v>11500000</v>
      </c>
      <c r="H26" s="46">
        <f ca="1">G26/$G$28</f>
        <v>2.1162541471461602E-2</v>
      </c>
      <c r="I26" s="215"/>
      <c r="J26" s="178"/>
      <c r="K26" s="178"/>
      <c r="L26" s="178"/>
    </row>
    <row r="27" spans="2:12" ht="13.8" thickBot="1">
      <c r="B27" t="s">
        <v>436</v>
      </c>
      <c r="C27"/>
      <c r="D27" s="191">
        <f>D23+3</f>
        <v>2031</v>
      </c>
      <c r="F27" s="1" t="s">
        <v>424</v>
      </c>
      <c r="G27" s="47">
        <f ca="1">I35</f>
        <v>353218445.43484008</v>
      </c>
      <c r="H27" s="46">
        <f ca="1">G27/$G$28</f>
        <v>0.65</v>
      </c>
    </row>
    <row r="28" spans="2:12" ht="15" thickBot="1">
      <c r="B28" t="s">
        <v>390</v>
      </c>
      <c r="C28"/>
      <c r="D28" s="581">
        <v>4.4999999999999998E-2</v>
      </c>
      <c r="F28" s="9" t="s">
        <v>458</v>
      </c>
      <c r="G28" s="473">
        <f ca="1">SUM(G23:G27)</f>
        <v>543412992.97667706</v>
      </c>
      <c r="H28" s="474">
        <f ca="1">SUM(H23:H27)</f>
        <v>1</v>
      </c>
      <c r="I28" s="53"/>
      <c r="J28" s="61" t="s">
        <v>634</v>
      </c>
      <c r="K28" s="399">
        <f ca="1">SUM(G23:G27)-G20</f>
        <v>0</v>
      </c>
    </row>
    <row r="29" spans="2:12" ht="14.4">
      <c r="B29" t="s">
        <v>405</v>
      </c>
      <c r="C29"/>
      <c r="D29" s="40">
        <v>0.01</v>
      </c>
    </row>
    <row r="30" spans="2:12" ht="14.4">
      <c r="B30" s="15" t="s">
        <v>406</v>
      </c>
      <c r="C30" s="16"/>
      <c r="D30" s="217">
        <v>10</v>
      </c>
      <c r="F30" s="11" t="s">
        <v>649</v>
      </c>
      <c r="G30" s="52"/>
      <c r="H30" s="12"/>
      <c r="I30" s="52"/>
    </row>
    <row r="31" spans="2:12">
      <c r="F31" s="1" t="s">
        <v>424</v>
      </c>
    </row>
    <row r="32" spans="2:12">
      <c r="F32" s="42"/>
      <c r="G32" s="54" t="s">
        <v>463</v>
      </c>
      <c r="H32" s="54" t="s">
        <v>464</v>
      </c>
      <c r="I32" s="5" t="s">
        <v>465</v>
      </c>
    </row>
    <row r="33" spans="6:10">
      <c r="F33" s="1" t="s">
        <v>460</v>
      </c>
      <c r="G33" s="3">
        <v>0.02</v>
      </c>
      <c r="H33" s="56">
        <v>350</v>
      </c>
      <c r="I33" s="255">
        <f>G33+(H33/10000)</f>
        <v>5.5000000000000007E-2</v>
      </c>
    </row>
    <row r="34" spans="6:10">
      <c r="F34" s="1" t="s">
        <v>461</v>
      </c>
      <c r="H34" s="4"/>
      <c r="I34" s="34">
        <v>0.65</v>
      </c>
    </row>
    <row r="35" spans="6:10">
      <c r="F35" s="1" t="s">
        <v>462</v>
      </c>
      <c r="H35" s="4"/>
      <c r="I35" s="60">
        <f ca="1">I34*G20</f>
        <v>353218445.43484008</v>
      </c>
    </row>
    <row r="36" spans="6:10">
      <c r="F36" s="1" t="s">
        <v>426</v>
      </c>
      <c r="H36" s="4"/>
      <c r="I36" s="34">
        <v>0.01</v>
      </c>
    </row>
    <row r="38" spans="6:10" ht="14.4">
      <c r="F38" s="11" t="s">
        <v>650</v>
      </c>
      <c r="G38" s="52"/>
      <c r="H38" s="12"/>
      <c r="I38" s="52"/>
    </row>
    <row r="39" spans="6:10">
      <c r="F39" s="42"/>
      <c r="G39" s="54" t="s">
        <v>463</v>
      </c>
      <c r="H39" s="54" t="s">
        <v>464</v>
      </c>
      <c r="I39" s="5" t="s">
        <v>465</v>
      </c>
    </row>
    <row r="40" spans="6:10">
      <c r="F40" t="s">
        <v>460</v>
      </c>
      <c r="G40" s="3">
        <v>0.02</v>
      </c>
      <c r="H40" s="56">
        <v>250</v>
      </c>
      <c r="I40" s="255">
        <f>G40+(H40/10000)</f>
        <v>4.4999999999999998E-2</v>
      </c>
    </row>
    <row r="41" spans="6:10">
      <c r="F41" t="s">
        <v>467</v>
      </c>
      <c r="H41" s="4"/>
      <c r="I41" s="34">
        <v>0.7</v>
      </c>
    </row>
    <row r="42" spans="6:10">
      <c r="F42" t="s">
        <v>468</v>
      </c>
      <c r="H42" s="4"/>
      <c r="I42" s="193">
        <v>4.4999999999999998E-2</v>
      </c>
      <c r="J42" s="1"/>
    </row>
    <row r="43" spans="6:10">
      <c r="F43" s="1" t="s">
        <v>391</v>
      </c>
      <c r="H43" s="57"/>
      <c r="I43" s="55">
        <v>10</v>
      </c>
    </row>
    <row r="44" spans="6:10">
      <c r="F44" s="209" t="s">
        <v>636</v>
      </c>
      <c r="H44" s="4"/>
      <c r="I44" s="191">
        <f>D27</f>
        <v>2031</v>
      </c>
    </row>
    <row r="45" spans="6:10">
      <c r="F45" s="209" t="s">
        <v>677</v>
      </c>
      <c r="H45" s="4"/>
      <c r="I45" s="191">
        <f>I43+I44</f>
        <v>2041</v>
      </c>
    </row>
    <row r="46" spans="6:10">
      <c r="F46" s="1" t="s">
        <v>635</v>
      </c>
      <c r="H46" s="4"/>
      <c r="I46" s="8">
        <f ca="1">OFFSET('Phase II - Pro Forma'!$E$40,0,MATCH('Phase II - Summary'!I44,'Phase II - Pro Forma'!F13:AJ13,0),)</f>
        <v>40838495.751561671</v>
      </c>
    </row>
    <row r="47" spans="6:10">
      <c r="F47" t="s">
        <v>469</v>
      </c>
      <c r="H47" s="4"/>
      <c r="I47" s="8">
        <f ca="1">I46/I42</f>
        <v>907522127.81248164</v>
      </c>
    </row>
    <row r="48" spans="6:10">
      <c r="F48" t="s">
        <v>470</v>
      </c>
      <c r="H48" s="4"/>
      <c r="I48" s="8">
        <f ca="1">I47*I41</f>
        <v>635265489.46873713</v>
      </c>
    </row>
    <row r="49" spans="6:9">
      <c r="F49" t="s">
        <v>426</v>
      </c>
      <c r="H49" s="4"/>
      <c r="I49" s="34">
        <v>0.01</v>
      </c>
    </row>
  </sheetData>
  <pageMargins left="0.7" right="0.7" top="0.75" bottom="0.75" header="0.3" footer="0.3"/>
  <pageSetup scale="75" fitToHeight="0" orientation="portrait" r:id="rId1"/>
  <headerFooter>
    <oddHeader xml:space="preserve">&amp;L2019 ULI Hines Student Competition&amp;R2019-331 &amp;A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18DB7-16C0-4C0C-9A5C-CF1D3B890A3E}">
  <sheetPr>
    <tabColor rgb="FFFFC000"/>
    <pageSetUpPr fitToPage="1"/>
  </sheetPr>
  <dimension ref="A1:FG77"/>
  <sheetViews>
    <sheetView showGridLines="0" view="pageBreakPreview" zoomScale="70" zoomScaleNormal="100" zoomScaleSheetLayoutView="70" workbookViewId="0">
      <pane xSplit="4" ySplit="13" topLeftCell="E14" activePane="bottomRight" state="frozen"/>
      <selection activeCell="O21" sqref="O21"/>
      <selection pane="topRight" activeCell="O21" sqref="O21"/>
      <selection pane="bottomLeft" activeCell="O21" sqref="O21"/>
      <selection pane="bottomRight" activeCell="E14" sqref="E14"/>
    </sheetView>
  </sheetViews>
  <sheetFormatPr defaultRowHeight="13.2"/>
  <cols>
    <col min="1" max="1" width="1.77734375" customWidth="1"/>
    <col min="3" max="3" width="23.88671875" customWidth="1"/>
    <col min="4" max="4" width="14.44140625" bestFit="1" customWidth="1"/>
    <col min="5" max="5" width="2.6640625" customWidth="1"/>
    <col min="6" max="6" width="13.5546875" bestFit="1" customWidth="1"/>
    <col min="7" max="8" width="12.77734375" bestFit="1" customWidth="1"/>
    <col min="9" max="9" width="15.109375" bestFit="1" customWidth="1"/>
    <col min="10" max="36" width="14.44140625" bestFit="1" customWidth="1"/>
    <col min="37" max="54" width="11.77734375" style="104" bestFit="1" customWidth="1"/>
    <col min="55" max="134" width="8.88671875" style="104"/>
    <col min="135" max="137" width="10.109375" style="104" bestFit="1" customWidth="1"/>
    <col min="138" max="16384" width="8.88671875" style="104"/>
  </cols>
  <sheetData>
    <row r="1" spans="1:163" s="100" customForma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1:163" s="100" customForma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1:163" s="100" customForma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</row>
    <row r="4" spans="1:163" s="100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163" s="100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163" s="100" customForma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163" s="100" customFormat="1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163" s="100" customFormat="1">
      <c r="A8"/>
      <c r="B8" s="445" t="s">
        <v>762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163" s="100" customFormat="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163" s="205" customFormat="1" ht="15" thickBot="1">
      <c r="A10" s="201"/>
      <c r="B10" s="202" t="s">
        <v>639</v>
      </c>
      <c r="C10" s="203"/>
      <c r="D10" s="203"/>
      <c r="E10" s="203"/>
      <c r="F10" s="203"/>
      <c r="G10" s="203"/>
      <c r="H10" s="204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</row>
    <row r="11" spans="1:163" s="100" customForma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163" s="100" customFormat="1">
      <c r="A12"/>
      <c r="B12" s="1" t="s">
        <v>407</v>
      </c>
      <c r="C12"/>
      <c r="D12"/>
      <c r="E12"/>
      <c r="F12" s="220">
        <v>0</v>
      </c>
      <c r="G12" s="220">
        <f>F12+1</f>
        <v>1</v>
      </c>
      <c r="H12" s="220">
        <f t="shared" ref="H12:W13" si="0">G12+1</f>
        <v>2</v>
      </c>
      <c r="I12" s="220">
        <f t="shared" si="0"/>
        <v>3</v>
      </c>
      <c r="J12" s="220">
        <f t="shared" si="0"/>
        <v>4</v>
      </c>
      <c r="K12" s="220">
        <f t="shared" si="0"/>
        <v>5</v>
      </c>
      <c r="L12" s="220">
        <f t="shared" si="0"/>
        <v>6</v>
      </c>
      <c r="M12" s="220">
        <f t="shared" si="0"/>
        <v>7</v>
      </c>
      <c r="N12" s="220">
        <f t="shared" si="0"/>
        <v>8</v>
      </c>
      <c r="O12" s="220">
        <f t="shared" si="0"/>
        <v>9</v>
      </c>
      <c r="P12" s="220">
        <f t="shared" si="0"/>
        <v>10</v>
      </c>
      <c r="Q12" s="220">
        <f t="shared" si="0"/>
        <v>11</v>
      </c>
      <c r="R12" s="220">
        <f t="shared" si="0"/>
        <v>12</v>
      </c>
      <c r="S12" s="220">
        <f t="shared" si="0"/>
        <v>13</v>
      </c>
      <c r="T12" s="220">
        <f t="shared" si="0"/>
        <v>14</v>
      </c>
      <c r="U12" s="220">
        <f t="shared" si="0"/>
        <v>15</v>
      </c>
      <c r="V12" s="220">
        <f t="shared" si="0"/>
        <v>16</v>
      </c>
      <c r="W12" s="220">
        <f t="shared" si="0"/>
        <v>17</v>
      </c>
      <c r="X12" s="220">
        <f t="shared" ref="X12:AJ13" si="1">W12+1</f>
        <v>18</v>
      </c>
      <c r="Y12" s="220">
        <f t="shared" si="1"/>
        <v>19</v>
      </c>
      <c r="Z12" s="220">
        <f t="shared" si="1"/>
        <v>20</v>
      </c>
      <c r="AA12" s="220">
        <f t="shared" si="1"/>
        <v>21</v>
      </c>
      <c r="AB12" s="220">
        <f t="shared" si="1"/>
        <v>22</v>
      </c>
      <c r="AC12" s="220">
        <f t="shared" si="1"/>
        <v>23</v>
      </c>
      <c r="AD12" s="220">
        <f t="shared" si="1"/>
        <v>24</v>
      </c>
      <c r="AE12" s="220">
        <f t="shared" si="1"/>
        <v>25</v>
      </c>
      <c r="AF12" s="220">
        <f t="shared" si="1"/>
        <v>26</v>
      </c>
      <c r="AG12" s="220">
        <f t="shared" si="1"/>
        <v>27</v>
      </c>
      <c r="AH12" s="220">
        <f t="shared" si="1"/>
        <v>28</v>
      </c>
      <c r="AI12" s="220">
        <f t="shared" si="1"/>
        <v>29</v>
      </c>
      <c r="AJ12" s="220">
        <f t="shared" si="1"/>
        <v>30</v>
      </c>
    </row>
    <row r="13" spans="1:163" s="100" customFormat="1">
      <c r="A13"/>
      <c r="B13" t="s">
        <v>408</v>
      </c>
      <c r="C13"/>
      <c r="D13"/>
      <c r="E13"/>
      <c r="F13" s="180">
        <f>'Phase II - Summary'!D20</f>
        <v>2020</v>
      </c>
      <c r="G13" s="180">
        <f>F13+1</f>
        <v>2021</v>
      </c>
      <c r="H13" s="180">
        <f t="shared" si="0"/>
        <v>2022</v>
      </c>
      <c r="I13" s="180">
        <f t="shared" si="0"/>
        <v>2023</v>
      </c>
      <c r="J13" s="180">
        <f t="shared" si="0"/>
        <v>2024</v>
      </c>
      <c r="K13" s="180">
        <f t="shared" si="0"/>
        <v>2025</v>
      </c>
      <c r="L13" s="180">
        <f t="shared" si="0"/>
        <v>2026</v>
      </c>
      <c r="M13" s="180">
        <f t="shared" si="0"/>
        <v>2027</v>
      </c>
      <c r="N13" s="180">
        <f t="shared" si="0"/>
        <v>2028</v>
      </c>
      <c r="O13" s="180">
        <f t="shared" si="0"/>
        <v>2029</v>
      </c>
      <c r="P13" s="180">
        <f t="shared" si="0"/>
        <v>2030</v>
      </c>
      <c r="Q13" s="180">
        <f t="shared" si="0"/>
        <v>2031</v>
      </c>
      <c r="R13" s="180">
        <f t="shared" si="0"/>
        <v>2032</v>
      </c>
      <c r="S13" s="180">
        <f t="shared" si="0"/>
        <v>2033</v>
      </c>
      <c r="T13" s="180">
        <f t="shared" si="0"/>
        <v>2034</v>
      </c>
      <c r="U13" s="180">
        <f t="shared" si="0"/>
        <v>2035</v>
      </c>
      <c r="V13" s="180">
        <f t="shared" si="0"/>
        <v>2036</v>
      </c>
      <c r="W13" s="180">
        <f t="shared" si="0"/>
        <v>2037</v>
      </c>
      <c r="X13" s="180">
        <f t="shared" si="1"/>
        <v>2038</v>
      </c>
      <c r="Y13" s="180">
        <f t="shared" si="1"/>
        <v>2039</v>
      </c>
      <c r="Z13" s="180">
        <f t="shared" si="1"/>
        <v>2040</v>
      </c>
      <c r="AA13" s="180">
        <f t="shared" si="1"/>
        <v>2041</v>
      </c>
      <c r="AB13" s="180">
        <f t="shared" si="1"/>
        <v>2042</v>
      </c>
      <c r="AC13" s="180">
        <f t="shared" si="1"/>
        <v>2043</v>
      </c>
      <c r="AD13" s="180">
        <f t="shared" si="1"/>
        <v>2044</v>
      </c>
      <c r="AE13" s="180">
        <f t="shared" si="1"/>
        <v>2045</v>
      </c>
      <c r="AF13" s="180">
        <f t="shared" si="1"/>
        <v>2046</v>
      </c>
      <c r="AG13" s="180">
        <f t="shared" si="1"/>
        <v>2047</v>
      </c>
      <c r="AH13" s="180">
        <f t="shared" si="1"/>
        <v>2048</v>
      </c>
      <c r="AI13" s="180">
        <f t="shared" si="1"/>
        <v>2049</v>
      </c>
      <c r="AJ13" s="180">
        <f t="shared" si="1"/>
        <v>2050</v>
      </c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  <c r="BV13" s="186"/>
      <c r="BW13" s="186"/>
      <c r="BX13" s="186"/>
      <c r="BY13" s="186"/>
      <c r="BZ13" s="186"/>
      <c r="CA13" s="186"/>
      <c r="CB13" s="186"/>
      <c r="CC13" s="186"/>
      <c r="CD13" s="186"/>
      <c r="CE13" s="186"/>
      <c r="CF13" s="186"/>
      <c r="CG13" s="186"/>
      <c r="CH13" s="186"/>
      <c r="CI13" s="186"/>
      <c r="CJ13" s="186"/>
      <c r="CK13" s="186"/>
      <c r="CL13" s="186"/>
      <c r="CM13" s="186"/>
      <c r="CN13" s="186"/>
      <c r="CO13" s="186"/>
      <c r="CP13" s="186"/>
      <c r="CQ13" s="186"/>
      <c r="CR13" s="186"/>
      <c r="CS13" s="186"/>
      <c r="CT13" s="186"/>
      <c r="CU13" s="186"/>
      <c r="CV13" s="186"/>
      <c r="CW13" s="186"/>
      <c r="CX13" s="186"/>
      <c r="CY13" s="186"/>
      <c r="CZ13" s="186"/>
      <c r="DA13" s="186"/>
      <c r="DB13" s="186"/>
      <c r="DC13" s="186"/>
      <c r="DD13" s="186"/>
      <c r="DE13" s="186"/>
      <c r="DF13" s="186"/>
      <c r="DG13" s="186"/>
      <c r="DH13" s="186"/>
      <c r="DI13" s="186"/>
      <c r="DJ13" s="186"/>
      <c r="DK13" s="186"/>
      <c r="DL13" s="186"/>
      <c r="DM13" s="186"/>
      <c r="DN13" s="186"/>
      <c r="DO13" s="186"/>
      <c r="DP13" s="186"/>
      <c r="DQ13" s="186"/>
      <c r="DR13" s="186"/>
      <c r="DS13" s="186"/>
      <c r="DT13" s="186"/>
      <c r="DU13" s="186"/>
      <c r="DV13" s="186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</row>
    <row r="14" spans="1:163" s="100" customFormat="1">
      <c r="A14"/>
      <c r="B14"/>
      <c r="C14"/>
      <c r="D14"/>
      <c r="E14"/>
      <c r="F14" s="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163" s="100" customFormat="1" ht="14.4">
      <c r="A15"/>
      <c r="B15"/>
      <c r="C15"/>
      <c r="D15" s="18" t="s">
        <v>16</v>
      </c>
      <c r="E15"/>
      <c r="F15" s="14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</row>
    <row r="16" spans="1:163" s="100" customFormat="1">
      <c r="A16"/>
      <c r="B16" t="s">
        <v>409</v>
      </c>
      <c r="C16"/>
      <c r="D16" s="19">
        <f>SUM(F16:DV16)</f>
        <v>1</v>
      </c>
      <c r="E16"/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f>IF(K13&lt;'Phase II - Summary'!$D$23,1/'Phase II - Summary'!$D$22,0)</f>
        <v>0.33333333333333331</v>
      </c>
      <c r="L16" s="13">
        <f>IF(L13&lt;'Phase II - Summary'!$D$23,1/'Phase II - Summary'!$D$22,0)</f>
        <v>0.33333333333333331</v>
      </c>
      <c r="M16" s="13">
        <f>IF(M13&lt;'Phase II - Summary'!$D$23,1/'Phase II - Summary'!$D$22,0)</f>
        <v>0.33333333333333331</v>
      </c>
      <c r="N16" s="13">
        <f>IF(N13&lt;'Phase II - Summary'!$D$23,1/'Phase II - Summary'!$D$22,0)</f>
        <v>0</v>
      </c>
      <c r="O16" s="13">
        <f>IF(O13&lt;'Phase II - Summary'!$D$23,1/'Phase II - Summary'!$D$22,0)</f>
        <v>0</v>
      </c>
      <c r="P16" s="13">
        <f>IF(P13&lt;'Phase II - Summary'!$D$23,1/'Phase II - Summary'!$D$22,0)</f>
        <v>0</v>
      </c>
      <c r="Q16" s="13">
        <f>IF(Q13&lt;'Phase II - Summary'!$D$23,1/'Phase II - Summary'!$D$22,0)</f>
        <v>0</v>
      </c>
      <c r="R16" s="13">
        <f>IF(R13&lt;'Phase II - Summary'!$D$23,1/'Phase II - Summary'!$D$22,0)</f>
        <v>0</v>
      </c>
      <c r="S16" s="13">
        <f>IF(S13&lt;'Phase II - Summary'!$D$23,1/'Phase II - Summary'!$D$22,0)</f>
        <v>0</v>
      </c>
      <c r="T16" s="13">
        <f>IF(T13&lt;'Phase II - Summary'!$D$23,1/'Phase II - Summary'!$D$22,0)</f>
        <v>0</v>
      </c>
      <c r="U16" s="13">
        <f>IF(U13&lt;'Phase II - Summary'!$D$23,1/'Phase II - Summary'!$D$22,0)</f>
        <v>0</v>
      </c>
      <c r="V16" s="13">
        <f>IF(V13&lt;'Phase II - Summary'!$D$23,1/'Phase II - Summary'!$D$22,0)</f>
        <v>0</v>
      </c>
      <c r="W16" s="13">
        <f>IF(W13&lt;'Phase II - Summary'!$D$23,1/'Phase II - Summary'!$D$22,0)</f>
        <v>0</v>
      </c>
      <c r="X16" s="13">
        <f>IF(X13&lt;'Phase II - Summary'!$D$23,1/'Phase II - Summary'!$D$22,0)</f>
        <v>0</v>
      </c>
      <c r="Y16" s="13">
        <f>IF(Y13&lt;'Phase II - Summary'!$D$23,1/'Phase II - Summary'!$D$22,0)</f>
        <v>0</v>
      </c>
      <c r="Z16" s="13">
        <f>IF(Z13&lt;'Phase II - Summary'!$D$23,1/'Phase II - Summary'!$D$22,0)</f>
        <v>0</v>
      </c>
      <c r="AA16" s="13">
        <f>IF(AA13&lt;'Phase II - Summary'!$D$23,1/'Phase II - Summary'!$D$22,0)</f>
        <v>0</v>
      </c>
      <c r="AB16" s="13">
        <f>IF(AB13&lt;'Phase II - Summary'!$D$23,1/'Phase II - Summary'!$D$22,0)</f>
        <v>0</v>
      </c>
      <c r="AC16" s="13">
        <f>IF(AC13&lt;'Phase II - Summary'!$D$23,1/'Phase II - Summary'!$D$22,0)</f>
        <v>0</v>
      </c>
      <c r="AD16" s="13">
        <f>IF(AD13&lt;'Phase II - Summary'!$D$23,1/'Phase II - Summary'!$D$22,0)</f>
        <v>0</v>
      </c>
      <c r="AE16" s="13">
        <f>IF(AE13&lt;'Phase II - Summary'!$D$23,1/'Phase II - Summary'!$D$22,0)</f>
        <v>0</v>
      </c>
      <c r="AF16" s="13">
        <f>IF(AF13&lt;'Phase II - Summary'!$D$23,1/'Phase II - Summary'!$D$22,0)</f>
        <v>0</v>
      </c>
      <c r="AG16" s="13">
        <f>IF(AG13&lt;'Phase II - Summary'!$D$23,1/'Phase II - Summary'!$D$22,0)</f>
        <v>0</v>
      </c>
      <c r="AH16" s="13">
        <f>IF(AH13&lt;'Phase II - Summary'!$D$23,1/'Phase II - Summary'!$D$22,0)</f>
        <v>0</v>
      </c>
      <c r="AI16" s="13">
        <f>IF(AI13&lt;'Phase II - Summary'!$D$23,1/'Phase II - Summary'!$D$22,0)</f>
        <v>0</v>
      </c>
      <c r="AJ16" s="13">
        <f>IF(AJ13&lt;'Phase II - Summary'!$D$23,1/'Phase II - Summary'!$D$22,0)</f>
        <v>0</v>
      </c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</row>
    <row r="17" spans="1:138" s="100" customFormat="1">
      <c r="A17"/>
      <c r="B17"/>
      <c r="C17"/>
      <c r="D17" s="20"/>
      <c r="E17"/>
      <c r="F17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</row>
    <row r="18" spans="1:138" s="100" customFormat="1">
      <c r="A18"/>
      <c r="B18" t="s">
        <v>46</v>
      </c>
      <c r="C18"/>
      <c r="D18" s="21">
        <f>SUM(F18:DV18)</f>
        <v>104048017</v>
      </c>
      <c r="E18"/>
      <c r="F18" s="7">
        <f>IF(F13='Phase II - Summary'!$D$20,'Phase II - Summary'!$G$14,0)</f>
        <v>104048017</v>
      </c>
      <c r="G18" s="7">
        <f>IF(G13='[1]Summary Inputs'!$D$13,'[1]Summary Inputs'!I6,0)</f>
        <v>0</v>
      </c>
      <c r="H18" s="7">
        <f>IF(H13='[1]Summary Inputs'!$D$13,'[1]Summary Inputs'!J6,0)</f>
        <v>0</v>
      </c>
      <c r="I18" s="7">
        <f>IF(I13='[1]Summary Inputs'!$D$13,'[1]Summary Inputs'!K6,0)</f>
        <v>0</v>
      </c>
      <c r="J18" s="7">
        <f>IF(J13='[1]Summary Inputs'!$D$13,'[1]Summary Inputs'!L5,0)</f>
        <v>0</v>
      </c>
      <c r="K18" s="7">
        <f>IF(K13='[1]Summary Inputs'!$D$13,'[1]Summary Inputs'!#REF!,0)</f>
        <v>0</v>
      </c>
      <c r="L18" s="7">
        <f>IF(L13='[1]Summary Inputs'!$D$13,'[1]Summary Inputs'!I22,0)</f>
        <v>0</v>
      </c>
      <c r="M18" s="7">
        <f>IF(M13='[1]Summary Inputs'!$D$13,'[1]Summary Inputs'!K22,0)</f>
        <v>0</v>
      </c>
      <c r="N18" s="7">
        <f>IF(N13='[1]Summary Inputs'!$D$13,'[1]Summary Inputs'!#REF!,0)</f>
        <v>0</v>
      </c>
      <c r="O18" s="7">
        <f>IF(O13='[1]Summary Inputs'!$D$13,'[1]Summary Inputs'!M14,0)</f>
        <v>0</v>
      </c>
      <c r="P18" s="7">
        <f>IF(P13='[1]Summary Inputs'!$D$13,'[1]Summary Inputs'!O14,0)</f>
        <v>0</v>
      </c>
      <c r="Q18" s="7">
        <f>IF(Q13='[1]Summary Inputs'!$D$13,'[1]Summary Inputs'!R14,0)</f>
        <v>0</v>
      </c>
      <c r="R18" s="7">
        <f>IF(R13='[1]Summary Inputs'!$D$13,'[1]Summary Inputs'!#REF!,0)</f>
        <v>0</v>
      </c>
      <c r="S18" s="7">
        <f>IF(S13='[1]Summary Inputs'!$D$13,'[1]Summary Inputs'!#REF!,0)</f>
        <v>0</v>
      </c>
      <c r="T18" s="7">
        <f>IF(T13='[1]Summary Inputs'!$D$13,'[1]Summary Inputs'!#REF!,0)</f>
        <v>0</v>
      </c>
      <c r="U18" s="7">
        <f>IF(U13='[1]Summary Inputs'!$D$13,'[1]Summary Inputs'!#REF!,0)</f>
        <v>0</v>
      </c>
      <c r="V18" s="7">
        <f>IF(V13='[1]Summary Inputs'!$D$13,'[1]Summary Inputs'!#REF!,0)</f>
        <v>0</v>
      </c>
      <c r="W18" s="7">
        <f>IF(W13='[1]Summary Inputs'!$D$13,'[1]Summary Inputs'!#REF!,0)</f>
        <v>0</v>
      </c>
      <c r="X18" s="7">
        <f>IF(X13='[1]Summary Inputs'!$D$13,'[1]Summary Inputs'!#REF!,0)</f>
        <v>0</v>
      </c>
      <c r="Y18" s="7">
        <f>IF(Y13='[1]Summary Inputs'!$D$13,'[1]Summary Inputs'!#REF!,0)</f>
        <v>0</v>
      </c>
      <c r="Z18" s="7">
        <f>IF(Z13='[1]Summary Inputs'!$D$13,'[1]Summary Inputs'!#REF!,0)</f>
        <v>0</v>
      </c>
      <c r="AA18" s="7">
        <f>IF(AA13='[1]Summary Inputs'!$D$13,'[1]Summary Inputs'!#REF!,0)</f>
        <v>0</v>
      </c>
      <c r="AB18" s="7">
        <f>IF(AB13='[1]Summary Inputs'!$D$13,'[1]Summary Inputs'!#REF!,0)</f>
        <v>0</v>
      </c>
      <c r="AC18" s="7">
        <f>IF(AC13='[1]Summary Inputs'!$D$13,'[1]Summary Inputs'!#REF!,0)</f>
        <v>0</v>
      </c>
      <c r="AD18" s="7">
        <f>IF(AD13='[1]Summary Inputs'!$D$13,'[1]Summary Inputs'!#REF!,0)</f>
        <v>0</v>
      </c>
      <c r="AE18" s="7">
        <f>IF(AE13='[1]Summary Inputs'!$D$13,'[1]Summary Inputs'!#REF!,0)</f>
        <v>0</v>
      </c>
      <c r="AF18" s="7">
        <f>IF(AF13='[1]Summary Inputs'!$D$13,'[1]Summary Inputs'!#REF!,0)</f>
        <v>0</v>
      </c>
      <c r="AG18" s="7">
        <f>IF(AG13='[1]Summary Inputs'!$D$13,'[1]Summary Inputs'!#REF!,0)</f>
        <v>0</v>
      </c>
      <c r="AH18" s="7">
        <f>IF(AH13='[1]Summary Inputs'!$D$13,'[1]Summary Inputs'!#REF!,0)</f>
        <v>0</v>
      </c>
      <c r="AI18" s="7">
        <f>IF(AI13='[1]Summary Inputs'!$D$13,'[1]Summary Inputs'!#REF!,0)</f>
        <v>0</v>
      </c>
      <c r="AJ18" s="7">
        <f>IF(AJ13='[1]Summary Inputs'!$D$13,'[1]Summary Inputs'!#REF!,0)</f>
        <v>0</v>
      </c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</row>
    <row r="19" spans="1:138" s="100" customFormat="1">
      <c r="A19"/>
      <c r="B19" t="s">
        <v>395</v>
      </c>
      <c r="C19"/>
      <c r="D19" s="21">
        <f t="shared" ref="D19:D22" ca="1" si="2">SUM(F19:DV19)</f>
        <v>281408888.98309618</v>
      </c>
      <c r="E19"/>
      <c r="F19" s="7">
        <f ca="1">F16*'Phase II - Summary'!$G$15</f>
        <v>0</v>
      </c>
      <c r="G19" s="7">
        <f ca="1">G16*'Phase II - Summary'!$G$15</f>
        <v>0</v>
      </c>
      <c r="H19" s="7">
        <f ca="1">H16*'Phase II - Summary'!$G$15</f>
        <v>0</v>
      </c>
      <c r="I19" s="7">
        <f ca="1">I16*'Phase II - Summary'!$G$15</f>
        <v>0</v>
      </c>
      <c r="J19" s="7">
        <f ca="1">J16*'Phase II - Summary'!$G$15</f>
        <v>0</v>
      </c>
      <c r="K19" s="7">
        <f ca="1">K16*'Phase II - Summary'!$G$15</f>
        <v>93802962.994365394</v>
      </c>
      <c r="L19" s="7">
        <f ca="1">L16*'Phase II - Summary'!$G$15</f>
        <v>93802962.994365394</v>
      </c>
      <c r="M19" s="7">
        <f ca="1">M16*'Phase II - Summary'!$G$15</f>
        <v>93802962.994365394</v>
      </c>
      <c r="N19" s="7">
        <f ca="1">N16*'Phase II - Summary'!$G$15</f>
        <v>0</v>
      </c>
      <c r="O19" s="7">
        <f ca="1">O16*'Phase II - Summary'!$G$15</f>
        <v>0</v>
      </c>
      <c r="P19" s="7">
        <f ca="1">P16*'Phase II - Summary'!$G$15</f>
        <v>0</v>
      </c>
      <c r="Q19" s="7">
        <f ca="1">Q16*'Phase II - Summary'!$G$15</f>
        <v>0</v>
      </c>
      <c r="R19" s="7">
        <f ca="1">R16*'Phase II - Summary'!$G$15</f>
        <v>0</v>
      </c>
      <c r="S19" s="7">
        <f ca="1">S16*'Phase II - Summary'!$G$15</f>
        <v>0</v>
      </c>
      <c r="T19" s="7">
        <f ca="1">T16*'Phase II - Summary'!$G$15</f>
        <v>0</v>
      </c>
      <c r="U19" s="7">
        <f ca="1">U16*'Phase II - Summary'!$G$15</f>
        <v>0</v>
      </c>
      <c r="V19" s="7">
        <f ca="1">V16*'Phase II - Summary'!$G$15</f>
        <v>0</v>
      </c>
      <c r="W19" s="7">
        <f ca="1">W16*'Phase II - Summary'!$G$15</f>
        <v>0</v>
      </c>
      <c r="X19" s="7">
        <f ca="1">X16*'Phase II - Summary'!$G$15</f>
        <v>0</v>
      </c>
      <c r="Y19" s="7">
        <f ca="1">Y16*'Phase II - Summary'!$G$15</f>
        <v>0</v>
      </c>
      <c r="Z19" s="7">
        <f ca="1">Z16*'Phase II - Summary'!$G$15</f>
        <v>0</v>
      </c>
      <c r="AA19" s="7">
        <f ca="1">AA16*'Phase II - Summary'!$G$15</f>
        <v>0</v>
      </c>
      <c r="AB19" s="7">
        <f ca="1">AB16*'Phase II - Summary'!$G$15</f>
        <v>0</v>
      </c>
      <c r="AC19" s="7">
        <f ca="1">AC16*'Phase II - Summary'!$G$15</f>
        <v>0</v>
      </c>
      <c r="AD19" s="7">
        <f ca="1">AD16*'Phase II - Summary'!$G$15</f>
        <v>0</v>
      </c>
      <c r="AE19" s="7">
        <f ca="1">AE16*'Phase II - Summary'!$G$15</f>
        <v>0</v>
      </c>
      <c r="AF19" s="7">
        <f ca="1">AF16*'Phase II - Summary'!$G$15</f>
        <v>0</v>
      </c>
      <c r="AG19" s="7">
        <f ca="1">AG16*'Phase II - Summary'!$G$15</f>
        <v>0</v>
      </c>
      <c r="AH19" s="7">
        <f ca="1">AH16*'Phase II - Summary'!$G$15</f>
        <v>0</v>
      </c>
      <c r="AI19" s="7">
        <f ca="1">AI16*'Phase II - Summary'!$G$15</f>
        <v>0</v>
      </c>
      <c r="AJ19" s="7">
        <f ca="1">AJ16*'Phase II - Summary'!$G$15</f>
        <v>0</v>
      </c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</row>
    <row r="20" spans="1:138" s="100" customFormat="1">
      <c r="A20"/>
      <c r="B20" t="s">
        <v>410</v>
      </c>
      <c r="C20"/>
      <c r="D20" s="21">
        <f t="shared" ca="1" si="2"/>
        <v>42211333.347464427</v>
      </c>
      <c r="E20"/>
      <c r="F20" s="7">
        <f ca="1">F$16*'Phase II - Summary'!$G$16</f>
        <v>0</v>
      </c>
      <c r="G20" s="7">
        <f ca="1">G16*'Phase II - Summary'!$G$16</f>
        <v>0</v>
      </c>
      <c r="H20" s="7">
        <f ca="1">H16*'Phase II - Summary'!$G$16</f>
        <v>0</v>
      </c>
      <c r="I20" s="7">
        <f ca="1">I16*'Phase II - Summary'!$G$16</f>
        <v>0</v>
      </c>
      <c r="J20" s="7">
        <f ca="1">J16*'Phase II - Summary'!$G$16</f>
        <v>0</v>
      </c>
      <c r="K20" s="7">
        <f ca="1">K16*'Phase II - Summary'!$G$16</f>
        <v>14070444.449154809</v>
      </c>
      <c r="L20" s="7">
        <f ca="1">L16*'Phase II - Summary'!$G$16</f>
        <v>14070444.449154809</v>
      </c>
      <c r="M20" s="7">
        <f ca="1">M16*'Phase II - Summary'!$G$16</f>
        <v>14070444.449154809</v>
      </c>
      <c r="N20" s="7">
        <f ca="1">N16*'Phase II - Summary'!$G$16</f>
        <v>0</v>
      </c>
      <c r="O20" s="7">
        <f ca="1">O16*'Phase II - Summary'!$G$16</f>
        <v>0</v>
      </c>
      <c r="P20" s="7">
        <f ca="1">P16*'Phase II - Summary'!$G$16</f>
        <v>0</v>
      </c>
      <c r="Q20" s="7">
        <f ca="1">Q16*'Phase II - Summary'!$G$16</f>
        <v>0</v>
      </c>
      <c r="R20" s="7">
        <f ca="1">R16*'Phase II - Summary'!$G$16</f>
        <v>0</v>
      </c>
      <c r="S20" s="7">
        <f ca="1">S16*'Phase II - Summary'!$G$16</f>
        <v>0</v>
      </c>
      <c r="T20" s="7">
        <f ca="1">T16*'Phase II - Summary'!$G$16</f>
        <v>0</v>
      </c>
      <c r="U20" s="7">
        <f ca="1">U16*'Phase II - Summary'!$G$16</f>
        <v>0</v>
      </c>
      <c r="V20" s="7">
        <f ca="1">V16*'Phase II - Summary'!$G$16</f>
        <v>0</v>
      </c>
      <c r="W20" s="7">
        <f ca="1">W16*'Phase II - Summary'!$G$16</f>
        <v>0</v>
      </c>
      <c r="X20" s="7">
        <f ca="1">X16*'Phase II - Summary'!$G$16</f>
        <v>0</v>
      </c>
      <c r="Y20" s="7">
        <f ca="1">Y16*'Phase II - Summary'!$G$16</f>
        <v>0</v>
      </c>
      <c r="Z20" s="7">
        <f ca="1">Z16*'Phase II - Summary'!$G$16</f>
        <v>0</v>
      </c>
      <c r="AA20" s="7">
        <f ca="1">AA16*'Phase II - Summary'!$G$16</f>
        <v>0</v>
      </c>
      <c r="AB20" s="7">
        <f ca="1">AB16*'Phase II - Summary'!$G$16</f>
        <v>0</v>
      </c>
      <c r="AC20" s="7">
        <f ca="1">AC16*'Phase II - Summary'!$G$16</f>
        <v>0</v>
      </c>
      <c r="AD20" s="7">
        <f ca="1">AD16*'Phase II - Summary'!$G$16</f>
        <v>0</v>
      </c>
      <c r="AE20" s="7">
        <f ca="1">AE16*'Phase II - Summary'!$G$16</f>
        <v>0</v>
      </c>
      <c r="AF20" s="7">
        <f ca="1">AF16*'Phase II - Summary'!$G$16</f>
        <v>0</v>
      </c>
      <c r="AG20" s="7">
        <f ca="1">AG16*'Phase II - Summary'!$G$16</f>
        <v>0</v>
      </c>
      <c r="AH20" s="7">
        <f ca="1">AH16*'Phase II - Summary'!$G$16</f>
        <v>0</v>
      </c>
      <c r="AI20" s="7">
        <f ca="1">AI16*'Phase II - Summary'!$G$16</f>
        <v>0</v>
      </c>
      <c r="AJ20" s="7">
        <f ca="1">AJ16*'Phase II - Summary'!$G$16</f>
        <v>0</v>
      </c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</row>
    <row r="21" spans="1:138" s="100" customFormat="1">
      <c r="A21"/>
      <c r="B21" s="1" t="s">
        <v>9</v>
      </c>
      <c r="C21"/>
      <c r="D21" s="21">
        <f t="shared" si="2"/>
        <v>17890286.172824454</v>
      </c>
      <c r="E21"/>
      <c r="F21" s="7">
        <f>F$16*'Infrastructure Budget'!$G$35</f>
        <v>0</v>
      </c>
      <c r="G21" s="7">
        <f>G$16*'Infrastructure Budget'!$G$35</f>
        <v>0</v>
      </c>
      <c r="H21" s="7">
        <f>H$16*'Infrastructure Budget'!$G$35</f>
        <v>0</v>
      </c>
      <c r="I21" s="7">
        <f>I$16*'Infrastructure Budget'!$G$35</f>
        <v>0</v>
      </c>
      <c r="J21" s="7">
        <f>J$16*'Infrastructure Budget'!$G$35</f>
        <v>0</v>
      </c>
      <c r="K21" s="7">
        <f>K$16*'Infrastructure Budget'!$G$35</f>
        <v>5963428.7242748179</v>
      </c>
      <c r="L21" s="7">
        <f>L$16*'Infrastructure Budget'!$G$35</f>
        <v>5963428.7242748179</v>
      </c>
      <c r="M21" s="7">
        <f>M$16*'Infrastructure Budget'!$G$35</f>
        <v>5963428.7242748179</v>
      </c>
      <c r="N21" s="7">
        <f>N$16*'Infrastructure Budget'!$G$35</f>
        <v>0</v>
      </c>
      <c r="O21" s="7">
        <f>O$16*'Infrastructure Budget'!$G$35</f>
        <v>0</v>
      </c>
      <c r="P21" s="7">
        <f>P$16*'Infrastructure Budget'!$G$35</f>
        <v>0</v>
      </c>
      <c r="Q21" s="7">
        <f>Q$16*'Infrastructure Budget'!$G$35</f>
        <v>0</v>
      </c>
      <c r="R21" s="7">
        <f>R$16*'Infrastructure Budget'!$G$35</f>
        <v>0</v>
      </c>
      <c r="S21" s="7">
        <f>S$16*'Infrastructure Budget'!$G$35</f>
        <v>0</v>
      </c>
      <c r="T21" s="7">
        <f>T$16*'Infrastructure Budget'!$G$35</f>
        <v>0</v>
      </c>
      <c r="U21" s="7">
        <f>U$16*'Infrastructure Budget'!$G$35</f>
        <v>0</v>
      </c>
      <c r="V21" s="7">
        <f>V$16*'Infrastructure Budget'!$G$35</f>
        <v>0</v>
      </c>
      <c r="W21" s="7">
        <f>W$16*'Infrastructure Budget'!$G$35</f>
        <v>0</v>
      </c>
      <c r="X21" s="7">
        <f>X$16*'Infrastructure Budget'!$G$35</f>
        <v>0</v>
      </c>
      <c r="Y21" s="7">
        <f>Y$16*'Infrastructure Budget'!$G$35</f>
        <v>0</v>
      </c>
      <c r="Z21" s="7">
        <f>Z$16*'Infrastructure Budget'!$G$35</f>
        <v>0</v>
      </c>
      <c r="AA21" s="7">
        <f>AA$16*'Infrastructure Budget'!$G$35</f>
        <v>0</v>
      </c>
      <c r="AB21" s="7">
        <f>AB$16*'Infrastructure Budget'!$G$35</f>
        <v>0</v>
      </c>
      <c r="AC21" s="7">
        <f>AC$16*'Infrastructure Budget'!$G$35</f>
        <v>0</v>
      </c>
      <c r="AD21" s="7">
        <f>AD$16*'Infrastructure Budget'!$G$35</f>
        <v>0</v>
      </c>
      <c r="AE21" s="7">
        <f>AE$16*'Infrastructure Budget'!$G$35</f>
        <v>0</v>
      </c>
      <c r="AF21" s="7">
        <f>AF$16*'Infrastructure Budget'!$G$35</f>
        <v>0</v>
      </c>
      <c r="AG21" s="7">
        <f>AG$16*'Infrastructure Budget'!$G$35</f>
        <v>0</v>
      </c>
      <c r="AH21" s="7">
        <f>AH$16*'Infrastructure Budget'!$G$35</f>
        <v>0</v>
      </c>
      <c r="AI21" s="7">
        <f>AI$16*'Infrastructure Budget'!$G$35</f>
        <v>0</v>
      </c>
      <c r="AJ21" s="7">
        <f>AJ$16*'Infrastructure Budget'!$G$35</f>
        <v>0</v>
      </c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</row>
    <row r="22" spans="1:138" s="100" customFormat="1">
      <c r="A22"/>
      <c r="B22" s="42" t="s">
        <v>3</v>
      </c>
      <c r="C22" s="42"/>
      <c r="D22" s="58">
        <f t="shared" ca="1" si="2"/>
        <v>445558525.50338501</v>
      </c>
      <c r="E22" s="42"/>
      <c r="F22" s="59">
        <f ca="1">SUM(F18:F21)</f>
        <v>104048017</v>
      </c>
      <c r="G22" s="59">
        <f t="shared" ref="G22:AJ22" ca="1" si="3">SUM(G18:G21)</f>
        <v>0</v>
      </c>
      <c r="H22" s="59">
        <f t="shared" ca="1" si="3"/>
        <v>0</v>
      </c>
      <c r="I22" s="59">
        <f t="shared" ca="1" si="3"/>
        <v>0</v>
      </c>
      <c r="J22" s="59">
        <f t="shared" ca="1" si="3"/>
        <v>0</v>
      </c>
      <c r="K22" s="59">
        <f t="shared" ca="1" si="3"/>
        <v>113836836.16779502</v>
      </c>
      <c r="L22" s="59">
        <f t="shared" ca="1" si="3"/>
        <v>113836836.16779502</v>
      </c>
      <c r="M22" s="59">
        <f t="shared" ca="1" si="3"/>
        <v>113836836.16779502</v>
      </c>
      <c r="N22" s="59">
        <f t="shared" ca="1" si="3"/>
        <v>0</v>
      </c>
      <c r="O22" s="59">
        <f t="shared" ca="1" si="3"/>
        <v>0</v>
      </c>
      <c r="P22" s="59">
        <f t="shared" ca="1" si="3"/>
        <v>0</v>
      </c>
      <c r="Q22" s="59">
        <f t="shared" ca="1" si="3"/>
        <v>0</v>
      </c>
      <c r="R22" s="59">
        <f t="shared" ca="1" si="3"/>
        <v>0</v>
      </c>
      <c r="S22" s="59">
        <f t="shared" ca="1" si="3"/>
        <v>0</v>
      </c>
      <c r="T22" s="59">
        <f t="shared" ca="1" si="3"/>
        <v>0</v>
      </c>
      <c r="U22" s="59">
        <f t="shared" ca="1" si="3"/>
        <v>0</v>
      </c>
      <c r="V22" s="59">
        <f t="shared" ca="1" si="3"/>
        <v>0</v>
      </c>
      <c r="W22" s="59">
        <f t="shared" ca="1" si="3"/>
        <v>0</v>
      </c>
      <c r="X22" s="59">
        <f t="shared" ca="1" si="3"/>
        <v>0</v>
      </c>
      <c r="Y22" s="59">
        <f t="shared" ca="1" si="3"/>
        <v>0</v>
      </c>
      <c r="Z22" s="59">
        <f t="shared" ca="1" si="3"/>
        <v>0</v>
      </c>
      <c r="AA22" s="59">
        <f t="shared" ca="1" si="3"/>
        <v>0</v>
      </c>
      <c r="AB22" s="59">
        <f t="shared" ca="1" si="3"/>
        <v>0</v>
      </c>
      <c r="AC22" s="59">
        <f t="shared" ca="1" si="3"/>
        <v>0</v>
      </c>
      <c r="AD22" s="59">
        <f t="shared" ca="1" si="3"/>
        <v>0</v>
      </c>
      <c r="AE22" s="59">
        <f t="shared" ca="1" si="3"/>
        <v>0</v>
      </c>
      <c r="AF22" s="59">
        <f t="shared" ca="1" si="3"/>
        <v>0</v>
      </c>
      <c r="AG22" s="59">
        <f t="shared" ca="1" si="3"/>
        <v>0</v>
      </c>
      <c r="AH22" s="59">
        <f t="shared" ca="1" si="3"/>
        <v>0</v>
      </c>
      <c r="AI22" s="59">
        <f t="shared" ca="1" si="3"/>
        <v>0</v>
      </c>
      <c r="AJ22" s="59">
        <f t="shared" ca="1" si="3"/>
        <v>0</v>
      </c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76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176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  <c r="EB22" s="176"/>
      <c r="EC22" s="176"/>
      <c r="ED22" s="176"/>
      <c r="EE22" s="176"/>
      <c r="EF22" s="176"/>
      <c r="EG22" s="176"/>
      <c r="EH22" s="176"/>
    </row>
    <row r="23" spans="1:138" s="100" customForma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</row>
    <row r="24" spans="1:138" s="100" customFormat="1">
      <c r="A24"/>
      <c r="B24" s="219" t="s">
        <v>411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 s="188"/>
      <c r="AL24" s="188"/>
      <c r="AM24" s="188"/>
      <c r="AN24" s="188"/>
      <c r="AO24" s="188"/>
      <c r="AP24" s="188"/>
      <c r="AQ24" s="188"/>
    </row>
    <row r="25" spans="1:138">
      <c r="B25" t="s">
        <v>627</v>
      </c>
      <c r="F25" s="179">
        <f>IF(F13&gt;='Phase II - Summary'!$D$23,'Phase II - CF MF Market Rental'!C53,0)</f>
        <v>0</v>
      </c>
      <c r="G25" s="179">
        <f>IF(G13&gt;='Phase II - Summary'!$D$23,'Phase II - CF MF Market Rental'!D53,0)</f>
        <v>0</v>
      </c>
      <c r="H25" s="179">
        <f>IF(H13&gt;='Phase II - Summary'!$D$23,'Phase II - CF MF Market Rental'!E53,0)</f>
        <v>0</v>
      </c>
      <c r="I25" s="179">
        <f>IF(I13&gt;='Phase II - Summary'!$D$23,'Phase II - CF MF Market Rental'!F53,0)</f>
        <v>0</v>
      </c>
      <c r="J25" s="179">
        <f>IF(J13&gt;='Phase II - Summary'!$D$23,'Phase II - CF MF Market Rental'!G53,0)</f>
        <v>0</v>
      </c>
      <c r="K25" s="179">
        <f>IF(K13&gt;='Phase II - Summary'!$D$23,'Phase II - CF MF Market Rental'!H53,0)</f>
        <v>0</v>
      </c>
      <c r="L25" s="179">
        <f>IF(L13&gt;='Phase II - Summary'!$D$23,'Phase II - CF MF Market Rental'!I53,0)</f>
        <v>0</v>
      </c>
      <c r="M25" s="179">
        <f>IF(M13&gt;='Phase II - Summary'!$D$23,'Phase II - CF MF Market Rental'!J53,0)</f>
        <v>0</v>
      </c>
      <c r="N25" s="179">
        <f>IF(N13&gt;='Phase II - Summary'!$D$23,'Phase II - CF MF Market Rental'!K53,0)</f>
        <v>11877814.803850444</v>
      </c>
      <c r="O25" s="179">
        <f>IF(O13&gt;='Phase II - Summary'!$D$23,'Phase II - CF MF Market Rental'!L53,0)</f>
        <v>12234149.247965958</v>
      </c>
      <c r="P25" s="179">
        <f>IF(P13&gt;='Phase II - Summary'!$D$23,'Phase II - CF MF Market Rental'!M53,0)</f>
        <v>12601173.725404937</v>
      </c>
      <c r="Q25" s="179">
        <f>IF(Q13&gt;='Phase II - Summary'!$D$23,'Phase II - CF MF Market Rental'!N53,0)</f>
        <v>12979208.937167086</v>
      </c>
      <c r="R25" s="179">
        <f>IF(R13&gt;='Phase II - Summary'!$D$23,'Phase II - CF MF Market Rental'!O53,0)</f>
        <v>13368585.2052821</v>
      </c>
      <c r="S25" s="179">
        <f>IF(S13&gt;='Phase II - Summary'!$D$23,'Phase II - CF MF Market Rental'!P53,0)</f>
        <v>13769642.761440558</v>
      </c>
      <c r="T25" s="179">
        <f>IF(T13&gt;='Phase II - Summary'!$D$23,'Phase II - CF MF Market Rental'!Q53,0)</f>
        <v>14182732.044283777</v>
      </c>
      <c r="U25" s="179">
        <f>IF(U13&gt;='Phase II - Summary'!$D$23,'Phase II - CF MF Market Rental'!R53,0)</f>
        <v>14608214.00561229</v>
      </c>
      <c r="V25" s="179">
        <f>IF(V13&gt;='Phase II - Summary'!$D$23,'Phase II - CF MF Market Rental'!S53,0)</f>
        <v>15046460.42578066</v>
      </c>
      <c r="W25" s="179">
        <f>IF(W13&gt;='Phase II - Summary'!$D$23,'Phase II - CF MF Market Rental'!T53,0)</f>
        <v>15497854.238554077</v>
      </c>
      <c r="X25" s="179">
        <f>IF(X13&gt;='Phase II - Summary'!$D$23,'Phase II - CF MF Market Rental'!U53,0)</f>
        <v>15962789.8657107</v>
      </c>
      <c r="Y25" s="179">
        <f>IF(Y13&gt;='Phase II - Summary'!$D$23,'Phase II - CF MF Market Rental'!V53,0)</f>
        <v>16441673.561682019</v>
      </c>
      <c r="Z25" s="179">
        <f>IF(Z13&gt;='Phase II - Summary'!$D$23,'Phase II - CF MF Market Rental'!W53,0)</f>
        <v>16934923.768532481</v>
      </c>
      <c r="AA25" s="179">
        <f>IF(AA13&gt;='Phase II - Summary'!$D$23,'Phase II - CF MF Market Rental'!X53,0)</f>
        <v>17442971.481588457</v>
      </c>
      <c r="AB25" s="179">
        <f>IF(AB13&gt;='Phase II - Summary'!$D$23,'Phase II - CF MF Market Rental'!Y53,0)</f>
        <v>17966260.626036108</v>
      </c>
      <c r="AC25" s="179">
        <f>IF(AC13&gt;='Phase II - Summary'!$D$23,'Phase II - CF MF Market Rental'!Z53,0)</f>
        <v>18505248.444817193</v>
      </c>
      <c r="AD25" s="179">
        <f>IF(AD13&gt;='Phase II - Summary'!$D$23,'Phase II - CF MF Market Rental'!AA53,0)</f>
        <v>19060405.898161706</v>
      </c>
      <c r="AE25" s="179">
        <f>IF(AE13&gt;='Phase II - Summary'!$D$23,'Phase II - CF MF Market Rental'!AB53,0)</f>
        <v>19632218.075106557</v>
      </c>
      <c r="AF25" s="179">
        <f>IF(AF13&gt;='Phase II - Summary'!$D$23,'Phase II - CF MF Market Rental'!AC53,0)</f>
        <v>20221184.61735975</v>
      </c>
      <c r="AG25" s="179">
        <f>IF(AG13&gt;='Phase II - Summary'!$D$23,'Phase II - CF MF Market Rental'!AD53,0)</f>
        <v>20827820.155880544</v>
      </c>
      <c r="AH25" s="179">
        <f>IF(AH13&gt;='Phase II - Summary'!$D$23,'Phase II - CF MF Market Rental'!AE53,0)</f>
        <v>21452654.760556962</v>
      </c>
      <c r="AI25" s="179">
        <f>IF(AI13&gt;='Phase II - Summary'!$D$23,'Phase II - CF MF Market Rental'!AF53,0)</f>
        <v>22096234.403373666</v>
      </c>
      <c r="AJ25" s="179">
        <f>IF(AJ13&gt;='Phase II - Summary'!$D$23,'Phase II - CF MF Market Rental'!AG53,0)</f>
        <v>22759121.43547488</v>
      </c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81"/>
      <c r="EH25" s="181"/>
    </row>
    <row r="26" spans="1:138">
      <c r="B26" s="1" t="s">
        <v>653</v>
      </c>
      <c r="F26" s="179">
        <f>IF(F13&gt;='Phase II - Summary'!$D$23,'Phase II - CF Affordable Rental'!C52,0)</f>
        <v>0</v>
      </c>
      <c r="G26" s="179">
        <f>IF(G13&gt;='Phase II - Summary'!$D$23,'Phase II - CF Affordable Rental'!D52,0)</f>
        <v>0</v>
      </c>
      <c r="H26" s="179">
        <f>IF(H13&gt;='Phase II - Summary'!$D$23,'Phase II - CF Affordable Rental'!E52,0)</f>
        <v>0</v>
      </c>
      <c r="I26" s="179">
        <f>IF(I13&gt;='Phase II - Summary'!$D$23,'Phase II - CF Affordable Rental'!F52,0)</f>
        <v>0</v>
      </c>
      <c r="J26" s="179">
        <f>IF(J13&gt;='Phase II - Summary'!$D$23,'Phase II - CF Affordable Rental'!G52,0)</f>
        <v>0</v>
      </c>
      <c r="K26" s="179">
        <f>IF(K13&gt;='Phase II - Summary'!$D$23,'Phase II - CF Affordable Rental'!H52,0)</f>
        <v>0</v>
      </c>
      <c r="L26" s="179">
        <f>IF(L13&gt;='Phase II - Summary'!$D$23,'Phase II - CF Affordable Rental'!I52,0)</f>
        <v>0</v>
      </c>
      <c r="M26" s="179">
        <f>IF(M13&gt;='Phase II - Summary'!$D$23,'Phase II - CF Affordable Rental'!J52,0)</f>
        <v>0</v>
      </c>
      <c r="N26" s="179">
        <f>IF(N13&gt;='Phase II - Summary'!$D$23,'Phase II - CF Affordable Rental'!K52,0)</f>
        <v>1315745.5305311999</v>
      </c>
      <c r="O26" s="179">
        <f>IF(O13&gt;='Phase II - Summary'!$D$23,'Phase II - CF Affordable Rental'!L52,0)</f>
        <v>1342060.441141824</v>
      </c>
      <c r="P26" s="179">
        <f>IF(P13&gt;='Phase II - Summary'!$D$23,'Phase II - CF Affordable Rental'!M52,0)</f>
        <v>1368901.6499646604</v>
      </c>
      <c r="Q26" s="179">
        <f>IF(Q13&gt;='Phase II - Summary'!$D$23,'Phase II - CF Affordable Rental'!N52,0)</f>
        <v>1396279.6829639538</v>
      </c>
      <c r="R26" s="179">
        <f>IF(R13&gt;='Phase II - Summary'!$D$23,'Phase II - CF Affordable Rental'!O52,0)</f>
        <v>1424205.2766232325</v>
      </c>
      <c r="S26" s="179">
        <f>IF(S13&gt;='Phase II - Summary'!$D$23,'Phase II - CF Affordable Rental'!P52,0)</f>
        <v>1452689.3821556973</v>
      </c>
      <c r="T26" s="179">
        <f>IF(T13&gt;='Phase II - Summary'!$D$23,'Phase II - CF Affordable Rental'!Q52,0)</f>
        <v>1481743.1697988114</v>
      </c>
      <c r="U26" s="179">
        <f>IF(U13&gt;='Phase II - Summary'!$D$23,'Phase II - CF Affordable Rental'!R52,0)</f>
        <v>1511378.0331947876</v>
      </c>
      <c r="V26" s="179">
        <f>IF(V13&gt;='Phase II - Summary'!$D$23,'Phase II - CF Affordable Rental'!S52,0)</f>
        <v>1541605.593858683</v>
      </c>
      <c r="W26" s="179">
        <f>IF(W13&gt;='Phase II - Summary'!$D$23,'Phase II - CF Affordable Rental'!T52,0)</f>
        <v>1572437.7057358569</v>
      </c>
      <c r="X26" s="179">
        <f>IF(X13&gt;='Phase II - Summary'!$D$23,'Phase II - CF Affordable Rental'!U52,0)</f>
        <v>1603886.4598505741</v>
      </c>
      <c r="Y26" s="179">
        <f>IF(Y13&gt;='Phase II - Summary'!$D$23,'Phase II - CF Affordable Rental'!V52,0)</f>
        <v>1635964.1890475857</v>
      </c>
      <c r="Z26" s="179">
        <f>IF(Z13&gt;='Phase II - Summary'!$D$23,'Phase II - CF Affordable Rental'!W52,0)</f>
        <v>1668683.4728285368</v>
      </c>
      <c r="AA26" s="179">
        <f>IF(AA13&gt;='Phase II - Summary'!$D$23,'Phase II - CF Affordable Rental'!X52,0)</f>
        <v>1702057.1422851079</v>
      </c>
      <c r="AB26" s="179">
        <f>IF(AB13&gt;='Phase II - Summary'!$D$23,'Phase II - CF Affordable Rental'!Y52,0)</f>
        <v>1736098.2851308102</v>
      </c>
      <c r="AC26" s="179">
        <f>IF(AC13&gt;='Phase II - Summary'!$D$23,'Phase II - CF Affordable Rental'!Z52,0)</f>
        <v>1770820.2508334264</v>
      </c>
      <c r="AD26" s="179">
        <f>IF(AD13&gt;='Phase II - Summary'!$D$23,'Phase II - CF Affordable Rental'!AA52,0)</f>
        <v>1806236.6558500947</v>
      </c>
      <c r="AE26" s="179">
        <f>IF(AE13&gt;='Phase II - Summary'!$D$23,'Phase II - CF Affordable Rental'!AB52,0)</f>
        <v>1842361.3889670968</v>
      </c>
      <c r="AF26" s="179">
        <f>IF(AF13&gt;='Phase II - Summary'!$D$23,'Phase II - CF Affordable Rental'!AC52,0)</f>
        <v>1879208.6167464384</v>
      </c>
      <c r="AG26" s="179">
        <f>IF(AG13&gt;='Phase II - Summary'!$D$23,'Phase II - CF Affordable Rental'!AD52,0)</f>
        <v>1916792.7890813674</v>
      </c>
      <c r="AH26" s="179">
        <f>IF(AH13&gt;='Phase II - Summary'!$D$23,'Phase II - CF Affordable Rental'!AE52,0)</f>
        <v>1955128.6448629943</v>
      </c>
      <c r="AI26" s="179">
        <f>IF(AI13&gt;='Phase II - Summary'!$D$23,'Phase II - CF Affordable Rental'!AF52,0)</f>
        <v>1994231.2177602546</v>
      </c>
      <c r="AJ26" s="179">
        <f>IF(AJ13&gt;='Phase II - Summary'!$D$23,'Phase II - CF Affordable Rental'!AG52,0)</f>
        <v>2034115.8421154595</v>
      </c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81"/>
      <c r="EH26" s="181"/>
    </row>
    <row r="27" spans="1:138" ht="14.4">
      <c r="B27" t="s">
        <v>628</v>
      </c>
      <c r="C27" s="6"/>
      <c r="D27" s="6"/>
      <c r="E27" s="6"/>
      <c r="F27" s="179">
        <f>IF(F13&gt;='Phase II - Summary'!$D$23,'Phase II - CF Commercial'!C43,0)</f>
        <v>0</v>
      </c>
      <c r="G27" s="179">
        <f>IF(G13&gt;='Phase II - Summary'!$D$23,'Phase II - CF Commercial'!D43,0)</f>
        <v>0</v>
      </c>
      <c r="H27" s="179">
        <f>IF(H13&gt;='Phase II - Summary'!$D$23,'Phase II - CF Commercial'!E43,0)</f>
        <v>0</v>
      </c>
      <c r="I27" s="179">
        <f>IF(I13&gt;='Phase II - Summary'!$D$23,'Phase II - CF Commercial'!F43,0)</f>
        <v>0</v>
      </c>
      <c r="J27" s="179">
        <f>IF(J13&gt;='Phase II - Summary'!$D$23,'Phase II - CF Commercial'!G43,0)</f>
        <v>0</v>
      </c>
      <c r="K27" s="179">
        <f>IF(K13&gt;='Phase II - Summary'!$D$23,'Phase II - CF Commercial'!H43,0)</f>
        <v>0</v>
      </c>
      <c r="L27" s="179">
        <f>IF(L13&gt;='Phase II - Summary'!$D$23,'Phase II - CF Commercial'!I43,0)</f>
        <v>0</v>
      </c>
      <c r="M27" s="179">
        <f>IF(M13&gt;='Phase II - Summary'!$D$23,'Phase II - CF Commercial'!J43,0)</f>
        <v>0</v>
      </c>
      <c r="N27" s="179">
        <f ca="1">IF(N13&gt;='Phase II - Summary'!$D$23,'Phase II - CF Commercial'!K43,0)</f>
        <v>24976212.34807777</v>
      </c>
      <c r="O27" s="179">
        <f ca="1">IF(O13&gt;='Phase II - Summary'!$D$23,'Phase II - CF Commercial'!L43,0)</f>
        <v>25725498.718520101</v>
      </c>
      <c r="P27" s="179">
        <f ca="1">IF(P13&gt;='Phase II - Summary'!$D$23,'Phase II - CF Commercial'!M43,0)</f>
        <v>26497263.680075701</v>
      </c>
      <c r="Q27" s="179">
        <f ca="1">IF(Q13&gt;='Phase II - Summary'!$D$23,'Phase II - CF Commercial'!N43,0)</f>
        <v>27292181.590477973</v>
      </c>
      <c r="R27" s="179">
        <f ca="1">IF(R13&gt;='Phase II - Summary'!$D$23,'Phase II - CF Commercial'!O43,0)</f>
        <v>28110947.038192313</v>
      </c>
      <c r="S27" s="179">
        <f ca="1">IF(S13&gt;='Phase II - Summary'!$D$23,'Phase II - CF Commercial'!P43,0)</f>
        <v>28954275.449338078</v>
      </c>
      <c r="T27" s="179">
        <f ca="1">IF(T13&gt;='Phase II - Summary'!$D$23,'Phase II - CF Commercial'!Q43,0)</f>
        <v>29822903.712818224</v>
      </c>
      <c r="U27" s="179">
        <f ca="1">IF(U13&gt;='Phase II - Summary'!$D$23,'Phase II - CF Commercial'!R43,0)</f>
        <v>30717590.824202769</v>
      </c>
      <c r="V27" s="179">
        <f ca="1">IF(V13&gt;='Phase II - Summary'!$D$23,'Phase II - CF Commercial'!S43,0)</f>
        <v>31639118.548928853</v>
      </c>
      <c r="W27" s="179">
        <f ca="1">IF(W13&gt;='Phase II - Summary'!$D$23,'Phase II - CF Commercial'!T43,0)</f>
        <v>32588292.105396714</v>
      </c>
      <c r="X27" s="179">
        <f ca="1">IF(X13&gt;='Phase II - Summary'!$D$23,'Phase II - CF Commercial'!U43,0)</f>
        <v>33565940.868558615</v>
      </c>
      <c r="Y27" s="179">
        <f ca="1">IF(Y13&gt;='Phase II - Summary'!$D$23,'Phase II - CF Commercial'!V43,0)</f>
        <v>34572919.094615377</v>
      </c>
      <c r="Z27" s="179">
        <f ca="1">IF(Z13&gt;='Phase II - Summary'!$D$23,'Phase II - CF Commercial'!W43,0)</f>
        <v>35610106.66745384</v>
      </c>
      <c r="AA27" s="179">
        <f ca="1">IF(AA13&gt;='Phase II - Summary'!$D$23,'Phase II - CF Commercial'!X43,0)</f>
        <v>36678409.867477447</v>
      </c>
      <c r="AB27" s="179">
        <f ca="1">IF(AB13&gt;='Phase II - Summary'!$D$23,'Phase II - CF Commercial'!Y43,0)</f>
        <v>37778762.163501769</v>
      </c>
      <c r="AC27" s="179">
        <f ca="1">IF(AC13&gt;='Phase II - Summary'!$D$23,'Phase II - CF Commercial'!Z43,0)</f>
        <v>38912125.028406829</v>
      </c>
      <c r="AD27" s="179">
        <f ca="1">IF(AD13&gt;='Phase II - Summary'!$D$23,'Phase II - CF Commercial'!AA43,0)</f>
        <v>40079488.779259034</v>
      </c>
      <c r="AE27" s="179">
        <f ca="1">IF(AE13&gt;='Phase II - Summary'!$D$23,'Phase II - CF Commercial'!AB43,0)</f>
        <v>41281873.442636803</v>
      </c>
      <c r="AF27" s="179">
        <f ca="1">IF(AF13&gt;='Phase II - Summary'!$D$23,'Phase II - CF Commercial'!AC43,0)</f>
        <v>42520329.645915896</v>
      </c>
      <c r="AG27" s="179">
        <f ca="1">IF(AG13&gt;='Phase II - Summary'!$D$23,'Phase II - CF Commercial'!AD43,0)</f>
        <v>43795939.535293378</v>
      </c>
      <c r="AH27" s="179">
        <f ca="1">IF(AH13&gt;='Phase II - Summary'!$D$23,'Phase II - CF Commercial'!AE43,0)</f>
        <v>45109817.72135219</v>
      </c>
      <c r="AI27" s="179">
        <f ca="1">IF(AI13&gt;='Phase II - Summary'!$D$23,'Phase II - CF Commercial'!AF43,0)</f>
        <v>46463112.252992742</v>
      </c>
      <c r="AJ27" s="179">
        <f ca="1">IF(AJ13&gt;='Phase II - Summary'!$D$23,'Phase II - CF Commercial'!AG43,0)</f>
        <v>47857005.620582528</v>
      </c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</row>
    <row r="28" spans="1:138" ht="14.4">
      <c r="B28" t="s">
        <v>26</v>
      </c>
      <c r="C28" s="6"/>
      <c r="D28" s="6"/>
      <c r="E28" s="6"/>
      <c r="F28" s="179">
        <f>IF(F13&gt;='Phase II - Summary'!$D$23,'Phase II - CF Hotel'!C48,0)</f>
        <v>0</v>
      </c>
      <c r="G28" s="179">
        <f>IF(G13&gt;='Phase II - Summary'!$D$23,'Phase II - CF Hotel'!D48,0)</f>
        <v>0</v>
      </c>
      <c r="H28" s="179">
        <f>IF(H13&gt;='Phase II - Summary'!$D$23,'Phase II - CF Hotel'!E48,0)</f>
        <v>0</v>
      </c>
      <c r="I28" s="179">
        <f>IF(I13&gt;='Phase II - Summary'!$D$23,'Phase II - CF Hotel'!F48,0)</f>
        <v>0</v>
      </c>
      <c r="J28" s="179">
        <f>IF(J13&gt;='Phase II - Summary'!$D$23,'Phase II - CF Hotel'!G48,0)</f>
        <v>0</v>
      </c>
      <c r="K28" s="179">
        <f>IF(K13&gt;='Phase II - Summary'!$D$23,'Phase II - CF Hotel'!H48,0)</f>
        <v>0</v>
      </c>
      <c r="L28" s="179">
        <f>IF(L13&gt;='Phase II - Summary'!$D$23,'Phase II - CF Hotel'!I48,0)</f>
        <v>0</v>
      </c>
      <c r="M28" s="179">
        <f>IF(M13&gt;='Phase II - Summary'!$D$23,'Phase II - CF Hotel'!J48,0)</f>
        <v>0</v>
      </c>
      <c r="N28" s="179">
        <f>IF(N13&gt;='Phase II - Summary'!$D$23,'Phase II - CF Hotel'!K48,0)</f>
        <v>14642001.102816928</v>
      </c>
      <c r="O28" s="179">
        <f>IF(O13&gt;='Phase II - Summary'!$D$23,'Phase II - CF Hotel'!L48,0)</f>
        <v>14987165.861487478</v>
      </c>
      <c r="P28" s="179">
        <f>IF(P13&gt;='Phase II - Summary'!$D$23,'Phase II - CF Hotel'!M48,0)</f>
        <v>15342685.562918145</v>
      </c>
      <c r="Q28" s="179">
        <f>IF(Q13&gt;='Phase II - Summary'!$D$23,'Phase II - CF Hotel'!N48,0)</f>
        <v>15708870.85539173</v>
      </c>
      <c r="R28" s="179">
        <f>IF(R13&gt;='Phase II - Summary'!$D$23,'Phase II - CF Hotel'!O48,0)</f>
        <v>16086041.706639525</v>
      </c>
      <c r="S28" s="179">
        <f>IF(S13&gt;='Phase II - Summary'!$D$23,'Phase II - CF Hotel'!P48,0)</f>
        <v>16474527.683424752</v>
      </c>
      <c r="T28" s="179">
        <f>IF(T13&gt;='Phase II - Summary'!$D$23,'Phase II - CF Hotel'!Q48,0)</f>
        <v>16874668.239513535</v>
      </c>
      <c r="U28" s="179">
        <f>IF(U13&gt;='Phase II - Summary'!$D$23,'Phase II - CF Hotel'!R48,0)</f>
        <v>17286813.012284987</v>
      </c>
      <c r="V28" s="179">
        <f>IF(V13&gt;='Phase II - Summary'!$D$23,'Phase II - CF Hotel'!S48,0)</f>
        <v>17711322.128239579</v>
      </c>
      <c r="W28" s="179">
        <f>IF(W13&gt;='Phase II - Summary'!$D$23,'Phase II - CF Hotel'!T48,0)</f>
        <v>18148566.517672807</v>
      </c>
      <c r="X28" s="179">
        <f>IF(X13&gt;='Phase II - Summary'!$D$23,'Phase II - CF Hotel'!U48,0)</f>
        <v>18598928.238789033</v>
      </c>
      <c r="Y28" s="179">
        <f>IF(Y13&gt;='Phase II - Summary'!$D$23,'Phase II - CF Hotel'!V48,0)</f>
        <v>19062800.811538745</v>
      </c>
      <c r="Z28" s="179">
        <f>IF(Z13&gt;='Phase II - Summary'!$D$23,'Phase II - CF Hotel'!W48,0)</f>
        <v>19540589.561470952</v>
      </c>
      <c r="AA28" s="179">
        <f>IF(AA13&gt;='Phase II - Summary'!$D$23,'Phase II - CF Hotel'!X48,0)</f>
        <v>20032711.973901119</v>
      </c>
      <c r="AB28" s="179">
        <f>IF(AB13&gt;='Phase II - Summary'!$D$23,'Phase II - CF Hotel'!Y48,0)</f>
        <v>20539598.058704194</v>
      </c>
      <c r="AC28" s="179">
        <f>IF(AC13&gt;='Phase II - Summary'!$D$23,'Phase II - CF Hotel'!Z48,0)</f>
        <v>21061690.726051364</v>
      </c>
      <c r="AD28" s="179">
        <f>IF(AD13&gt;='Phase II - Summary'!$D$23,'Phase II - CF Hotel'!AA48,0)</f>
        <v>21599446.173418947</v>
      </c>
      <c r="AE28" s="179">
        <f>IF(AE13&gt;='Phase II - Summary'!$D$23,'Phase II - CF Hotel'!AB48,0)</f>
        <v>22153334.284207556</v>
      </c>
      <c r="AF28" s="179">
        <f>IF(AF13&gt;='Phase II - Summary'!$D$23,'Phase II - CF Hotel'!AC48,0)</f>
        <v>22723839.038319822</v>
      </c>
      <c r="AG28" s="179">
        <f>IF(AG13&gt;='Phase II - Summary'!$D$23,'Phase II - CF Hotel'!AD48,0)</f>
        <v>23311458.935055461</v>
      </c>
      <c r="AH28" s="179">
        <f>IF(AH13&gt;='Phase II - Summary'!$D$23,'Phase II - CF Hotel'!AE48,0)</f>
        <v>23916707.428693168</v>
      </c>
      <c r="AI28" s="179">
        <f>IF(AI13&gt;='Phase II - Summary'!$D$23,'Phase II - CF Hotel'!AF48,0)</f>
        <v>24540113.377140004</v>
      </c>
      <c r="AJ28" s="179">
        <f>IF(AJ13&gt;='Phase II - Summary'!$D$23,'Phase II - CF Hotel'!AG48,0)</f>
        <v>25182221.504040241</v>
      </c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  <c r="EC28" s="189"/>
      <c r="ED28" s="189"/>
      <c r="EE28" s="189"/>
      <c r="EF28" s="189"/>
      <c r="EG28" s="189"/>
      <c r="EH28" s="189"/>
    </row>
    <row r="29" spans="1:138">
      <c r="B29" t="s">
        <v>25</v>
      </c>
      <c r="F29" s="179">
        <f>IF(F13&gt;='Phase II - Summary'!$D$23,'Phase II - CF Retail'!C45,0)</f>
        <v>0</v>
      </c>
      <c r="G29" s="179">
        <f>IF(G13&gt;='Phase II - Summary'!$D$23,'Phase II - CF Retail'!D45,0)</f>
        <v>0</v>
      </c>
      <c r="H29" s="179">
        <f>IF(H13&gt;='Phase II - Summary'!$D$23,'Phase II - CF Retail'!E45,0)</f>
        <v>0</v>
      </c>
      <c r="I29" s="179">
        <f>IF(I13&gt;='Phase II - Summary'!$D$23,'Phase II - CF Retail'!F45,0)</f>
        <v>0</v>
      </c>
      <c r="J29" s="179">
        <f>IF(J13&gt;='Phase II - Summary'!$D$23,'Phase II - CF Retail'!G45,0)</f>
        <v>0</v>
      </c>
      <c r="K29" s="179">
        <f>IF(K13&gt;='Phase II - Summary'!$D$23,'Phase II - CF Retail'!H45,0)</f>
        <v>0</v>
      </c>
      <c r="L29" s="179">
        <f>IF(L13&gt;='Phase II - Summary'!$D$23,'Phase II - CF Retail'!I45,0)</f>
        <v>0</v>
      </c>
      <c r="M29" s="179">
        <f>IF(M13&gt;='Phase II - Summary'!$D$23,'Phase II - CF Retail'!J45,0)</f>
        <v>0</v>
      </c>
      <c r="N29" s="179">
        <f>IF(N13&gt;='Phase II - Summary'!$D$23,'Phase II - CF Retail'!K45,0)</f>
        <v>6288389.9723979188</v>
      </c>
      <c r="O29" s="179">
        <f>IF(O13&gt;='Phase II - Summary'!$D$23,'Phase II - CF Retail'!L45,0)</f>
        <v>6477041.6715698559</v>
      </c>
      <c r="P29" s="179">
        <f>IF(P13&gt;='Phase II - Summary'!$D$23,'Phase II - CF Retail'!M45,0)</f>
        <v>6671352.9217169508</v>
      </c>
      <c r="Q29" s="179">
        <f>IF(Q13&gt;='Phase II - Summary'!$D$23,'Phase II - CF Retail'!N45,0)</f>
        <v>6871493.5093684606</v>
      </c>
      <c r="R29" s="179">
        <f>IF(R13&gt;='Phase II - Summary'!$D$23,'Phase II - CF Retail'!O45,0)</f>
        <v>7077638.3146495149</v>
      </c>
      <c r="S29" s="179">
        <f>IF(S13&gt;='Phase II - Summary'!$D$23,'Phase II - CF Retail'!P45,0)</f>
        <v>7289967.4640889997</v>
      </c>
      <c r="T29" s="179">
        <f>IF(T13&gt;='Phase II - Summary'!$D$23,'Phase II - CF Retail'!Q45,0)</f>
        <v>7508666.4880116694</v>
      </c>
      <c r="U29" s="179">
        <f>IF(U13&gt;='Phase II - Summary'!$D$23,'Phase II - CF Retail'!R45,0)</f>
        <v>7733926.4826520197</v>
      </c>
      <c r="V29" s="179">
        <f>IF(V13&gt;='Phase II - Summary'!$D$23,'Phase II - CF Retail'!S45,0)</f>
        <v>7965944.2771315798</v>
      </c>
      <c r="W29" s="179">
        <f>IF(W13&gt;='Phase II - Summary'!$D$23,'Phase II - CF Retail'!T45,0)</f>
        <v>8204922.6054455256</v>
      </c>
      <c r="X29" s="179">
        <f>IF(X13&gt;='Phase II - Summary'!$D$23,'Phase II - CF Retail'!U45,0)</f>
        <v>8451070.2836088911</v>
      </c>
      <c r="Y29" s="179">
        <f>IF(Y13&gt;='Phase II - Summary'!$D$23,'Phase II - CF Retail'!V45,0)</f>
        <v>8704602.3921171576</v>
      </c>
      <c r="Z29" s="179">
        <f>IF(Z13&gt;='Phase II - Summary'!$D$23,'Phase II - CF Retail'!W45,0)</f>
        <v>8965740.4638806731</v>
      </c>
      <c r="AA29" s="179">
        <f>IF(AA13&gt;='Phase II - Summary'!$D$23,'Phase II - CF Retail'!X45,0)</f>
        <v>9234712.677797094</v>
      </c>
      <c r="AB29" s="179">
        <f>IF(AB13&gt;='Phase II - Summary'!$D$23,'Phase II - CF Retail'!Y45,0)</f>
        <v>9511754.0581310056</v>
      </c>
      <c r="AC29" s="179">
        <f>IF(AC13&gt;='Phase II - Summary'!$D$23,'Phase II - CF Retail'!Z45,0)</f>
        <v>9797106.6798749361</v>
      </c>
      <c r="AD29" s="179">
        <f>IF(AD13&gt;='Phase II - Summary'!$D$23,'Phase II - CF Retail'!AA45,0)</f>
        <v>10091019.880271183</v>
      </c>
      <c r="AE29" s="179">
        <f>IF(AE13&gt;='Phase II - Summary'!$D$23,'Phase II - CF Retail'!AB45,0)</f>
        <v>10393750.47667932</v>
      </c>
      <c r="AF29" s="179">
        <f>IF(AF13&gt;='Phase II - Summary'!$D$23,'Phase II - CF Retail'!AC45,0)</f>
        <v>10705562.990979698</v>
      </c>
      <c r="AG29" s="179">
        <f>IF(AG13&gt;='Phase II - Summary'!$D$23,'Phase II - CF Retail'!AD45,0)</f>
        <v>11026729.880709089</v>
      </c>
      <c r="AH29" s="179">
        <f>IF(AH13&gt;='Phase II - Summary'!$D$23,'Phase II - CF Retail'!AE45,0)</f>
        <v>11357531.777130364</v>
      </c>
      <c r="AI29" s="179">
        <f>IF(AI13&gt;='Phase II - Summary'!$D$23,'Phase II - CF Retail'!AF45,0)</f>
        <v>11698257.730444271</v>
      </c>
      <c r="AJ29" s="179">
        <f>IF(AJ13&gt;='Phase II - Summary'!$D$23,'Phase II - CF Retail'!AG45,0)</f>
        <v>12049205.462357599</v>
      </c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81"/>
      <c r="EH29" s="181"/>
    </row>
    <row r="30" spans="1:138">
      <c r="B30" s="42" t="s">
        <v>630</v>
      </c>
      <c r="C30" s="42"/>
      <c r="D30" s="59"/>
      <c r="E30" s="42"/>
      <c r="F30" s="182">
        <f>SUM(F25:F29)</f>
        <v>0</v>
      </c>
      <c r="G30" s="182">
        <f t="shared" ref="G30:AJ30" si="4">SUM(G25:G29)</f>
        <v>0</v>
      </c>
      <c r="H30" s="182">
        <f t="shared" si="4"/>
        <v>0</v>
      </c>
      <c r="I30" s="182">
        <f t="shared" si="4"/>
        <v>0</v>
      </c>
      <c r="J30" s="182">
        <f t="shared" si="4"/>
        <v>0</v>
      </c>
      <c r="K30" s="182">
        <f t="shared" si="4"/>
        <v>0</v>
      </c>
      <c r="L30" s="182">
        <f t="shared" si="4"/>
        <v>0</v>
      </c>
      <c r="M30" s="182">
        <f t="shared" si="4"/>
        <v>0</v>
      </c>
      <c r="N30" s="182">
        <f t="shared" ca="1" si="4"/>
        <v>59100163.757674254</v>
      </c>
      <c r="O30" s="182">
        <f t="shared" ca="1" si="4"/>
        <v>60765915.940685213</v>
      </c>
      <c r="P30" s="182">
        <f t="shared" ca="1" si="4"/>
        <v>62481377.540080391</v>
      </c>
      <c r="Q30" s="182">
        <f t="shared" ca="1" si="4"/>
        <v>64248034.575369209</v>
      </c>
      <c r="R30" s="182">
        <f t="shared" ca="1" si="4"/>
        <v>66067417.541386686</v>
      </c>
      <c r="S30" s="182">
        <f t="shared" ca="1" si="4"/>
        <v>67941102.740448087</v>
      </c>
      <c r="T30" s="182">
        <f t="shared" ca="1" si="4"/>
        <v>69870713.654426023</v>
      </c>
      <c r="U30" s="182">
        <f t="shared" ca="1" si="4"/>
        <v>71857922.357946858</v>
      </c>
      <c r="V30" s="182">
        <f t="shared" ca="1" si="4"/>
        <v>73904450.973939359</v>
      </c>
      <c r="W30" s="182">
        <f t="shared" ca="1" si="4"/>
        <v>76012073.172804967</v>
      </c>
      <c r="X30" s="182">
        <f t="shared" ca="1" si="4"/>
        <v>78182615.716517806</v>
      </c>
      <c r="Y30" s="182">
        <f t="shared" ca="1" si="4"/>
        <v>80417960.049000889</v>
      </c>
      <c r="Z30" s="182">
        <f t="shared" ca="1" si="4"/>
        <v>82720043.934166491</v>
      </c>
      <c r="AA30" s="182">
        <f t="shared" ca="1" si="4"/>
        <v>85090863.143049225</v>
      </c>
      <c r="AB30" s="182">
        <f t="shared" ca="1" si="4"/>
        <v>87532473.191503897</v>
      </c>
      <c r="AC30" s="182">
        <f t="shared" ca="1" si="4"/>
        <v>90046991.129983753</v>
      </c>
      <c r="AD30" s="182">
        <f t="shared" ca="1" si="4"/>
        <v>92636597.386960968</v>
      </c>
      <c r="AE30" s="182">
        <f t="shared" ca="1" si="4"/>
        <v>95303537.667597339</v>
      </c>
      <c r="AF30" s="182">
        <f t="shared" ca="1" si="4"/>
        <v>98050124.909321606</v>
      </c>
      <c r="AG30" s="182">
        <f t="shared" ca="1" si="4"/>
        <v>100878741.29601985</v>
      </c>
      <c r="AH30" s="182">
        <f t="shared" ca="1" si="4"/>
        <v>103791840.33259568</v>
      </c>
      <c r="AI30" s="182">
        <f t="shared" ca="1" si="4"/>
        <v>106791948.98171093</v>
      </c>
      <c r="AJ30" s="182">
        <f t="shared" ca="1" si="4"/>
        <v>109881669.86457071</v>
      </c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81"/>
      <c r="EH30" s="181"/>
    </row>
    <row r="31" spans="1:138">
      <c r="A31" s="178"/>
      <c r="B31" s="221"/>
      <c r="C31" s="178"/>
      <c r="D31" s="178"/>
      <c r="E31" s="178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81"/>
      <c r="EH31" s="181"/>
    </row>
    <row r="32" spans="1:138">
      <c r="B32" s="219" t="s">
        <v>413</v>
      </c>
    </row>
    <row r="33" spans="2:138">
      <c r="B33" t="str">
        <f>B25</f>
        <v>Market Rate Rental</v>
      </c>
      <c r="F33" s="7">
        <f>IF(F13&gt;='Phase II - Summary'!$D$23,-SUM('Phase II - CF MF Market Rental'!C55:C57),0)</f>
        <v>0</v>
      </c>
      <c r="G33" s="7">
        <f>IF(G13&gt;='Phase II - Summary'!$D$23,-SUM('Phase II - CF MF Market Rental'!D55:D57),0)</f>
        <v>0</v>
      </c>
      <c r="H33" s="7">
        <f>IF(H13&gt;='Phase II - Summary'!$D$23,-SUM('Phase II - CF MF Market Rental'!E55:E57),0)</f>
        <v>0</v>
      </c>
      <c r="I33" s="7">
        <f>IF(I13&gt;='Phase II - Summary'!$D$23,-SUM('Phase II - CF MF Market Rental'!F55:F57),0)</f>
        <v>0</v>
      </c>
      <c r="J33" s="7">
        <f>IF(J13&gt;='Phase II - Summary'!$D$23,-SUM('Phase II - CF MF Market Rental'!G55:G57),0)</f>
        <v>0</v>
      </c>
      <c r="K33" s="7">
        <f>IF(K13&gt;='Phase II - Summary'!$D$23,-SUM('Phase II - CF MF Market Rental'!H55:H57),0)</f>
        <v>0</v>
      </c>
      <c r="L33" s="7">
        <f>IF(L13&gt;='Phase II - Summary'!$D$23,-SUM('Phase II - CF MF Market Rental'!I55:I57),0)</f>
        <v>0</v>
      </c>
      <c r="M33" s="7">
        <f>IF(M13&gt;='Phase II - Summary'!$D$23,-SUM('Phase II - CF MF Market Rental'!J55:J57),0)</f>
        <v>0</v>
      </c>
      <c r="N33" s="7">
        <f>IF(N13&gt;='Phase II - Summary'!$D$23,-SUM('Phase II - CF MF Market Rental'!K55:K57),0)</f>
        <v>4812395.6524287192</v>
      </c>
      <c r="O33" s="7">
        <f>IF(O13&gt;='Phase II - Summary'!$D$23,-SUM('Phase II - CF MF Market Rental'!L55:L57),0)</f>
        <v>5051009.2127424264</v>
      </c>
      <c r="P33" s="7">
        <f>IF(P13&gt;='Phase II - Summary'!$D$23,-SUM('Phase II - CF MF Market Rental'!M55:M57),0)</f>
        <v>5301549.8094170308</v>
      </c>
      <c r="Q33" s="7">
        <f>IF(Q13&gt;='Phase II - Summary'!$D$23,-SUM('Phase II - CF MF Market Rental'!N55:N57),0)</f>
        <v>5564616.546198667</v>
      </c>
      <c r="R33" s="7">
        <f>IF(R13&gt;='Phase II - Summary'!$D$23,-SUM('Phase II - CF MF Market Rental'!O55:O57),0)</f>
        <v>5840838.7093542051</v>
      </c>
      <c r="S33" s="7">
        <f>IF(S13&gt;='Phase II - Summary'!$D$23,-SUM('Phase II - CF MF Market Rental'!P55:P57),0)</f>
        <v>6130877.2909429511</v>
      </c>
      <c r="T33" s="7">
        <f>IF(T13&gt;='Phase II - Summary'!$D$23,-SUM('Phase II - CF MF Market Rental'!Q55:Q57),0)</f>
        <v>6435426.5890469514</v>
      </c>
      <c r="U33" s="7">
        <f>IF(U13&gt;='Phase II - Summary'!$D$23,-SUM('Phase II - CF MF Market Rental'!R55:R57),0)</f>
        <v>6755215.888850484</v>
      </c>
      <c r="V33" s="7">
        <f>IF(V13&gt;='Phase II - Summary'!$D$23,-SUM('Phase II - CF MF Market Rental'!S55:S57),0)</f>
        <v>7091011.2286560042</v>
      </c>
      <c r="W33" s="7">
        <f>IF(W13&gt;='Phase II - Summary'!$D$23,-SUM('Phase II - CF MF Market Rental'!T55:T57),0)</f>
        <v>7443617.2551305769</v>
      </c>
      <c r="X33" s="7">
        <f>IF(X13&gt;='Phase II - Summary'!$D$23,-SUM('Phase II - CF MF Market Rental'!U55:U57),0)</f>
        <v>7813879.1722938977</v>
      </c>
      <c r="Y33" s="7">
        <f>IF(Y13&gt;='Phase II - Summary'!$D$23,-SUM('Phase II - CF MF Market Rental'!V55:V57),0)</f>
        <v>8202684.7889872976</v>
      </c>
      <c r="Z33" s="7">
        <f>IF(Z13&gt;='Phase II - Summary'!$D$23,-SUM('Phase II - CF MF Market Rental'!W55:W57),0)</f>
        <v>8610966.6698026396</v>
      </c>
      <c r="AA33" s="7">
        <f>IF(AA13&gt;='Phase II - Summary'!$D$23,-SUM('Phase II - CF MF Market Rental'!X55:X57),0)</f>
        <v>9039704.394702021</v>
      </c>
      <c r="AB33" s="7">
        <f>IF(AB13&gt;='Phase II - Summary'!$D$23,-SUM('Phase II - CF MF Market Rental'!Y55:Y57),0)</f>
        <v>9489926.9328235276</v>
      </c>
      <c r="AC33" s="7">
        <f>IF(AC13&gt;='Phase II - Summary'!$D$23,-SUM('Phase II - CF MF Market Rental'!Z55:Z57),0)</f>
        <v>9962715.1362464707</v>
      </c>
      <c r="AD33" s="7">
        <f>IF(AD13&gt;='Phase II - Summary'!$D$23,-SUM('Phase II - CF MF Market Rental'!AA55:AA57),0)</f>
        <v>10459204.359781275</v>
      </c>
      <c r="AE33" s="7">
        <f>IF(AE13&gt;='Phase II - Summary'!$D$23,-SUM('Phase II - CF MF Market Rental'!AB55:AB57),0)</f>
        <v>10980587.213156167</v>
      </c>
      <c r="AF33" s="7">
        <f>IF(AF13&gt;='Phase II - Summary'!$D$23,-SUM('Phase II - CF MF Market Rental'!AC55:AC57),0)</f>
        <v>11528116.452294922</v>
      </c>
      <c r="AG33" s="7">
        <f>IF(AG13&gt;='Phase II - Summary'!$D$23,-SUM('Phase II - CF MF Market Rental'!AD55:AD57),0)</f>
        <v>12103108.016718695</v>
      </c>
      <c r="AH33" s="7">
        <f>IF(AH13&gt;='Phase II - Summary'!$D$23,-SUM('Phase II - CF MF Market Rental'!AE55:AE57),0)</f>
        <v>12706944.220460437</v>
      </c>
      <c r="AI33" s="7">
        <f>IF(AI13&gt;='Phase II - Summary'!$D$23,-SUM('Phase II - CF MF Market Rental'!AF55:AF57),0)</f>
        <v>13341077.104254382</v>
      </c>
      <c r="AJ33" s="7">
        <f>IF(AJ13&gt;='Phase II - Summary'!$D$23,-SUM('Phase II - CF MF Market Rental'!AG55:AG57),0)</f>
        <v>14007031.957155466</v>
      </c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81"/>
      <c r="EH33" s="181"/>
    </row>
    <row r="34" spans="2:138">
      <c r="B34" s="1" t="s">
        <v>653</v>
      </c>
      <c r="F34" s="7">
        <f>IF(F13&gt;='Phase II - Summary'!$D$23,-SUM('Phase II - CF Affordable Rental'!C54:C56),0)</f>
        <v>0</v>
      </c>
      <c r="G34" s="7">
        <f>IF(G13&gt;='Phase II - Summary'!$D$23,-SUM('Phase II - CF Affordable Rental'!D54:D56),0)</f>
        <v>0</v>
      </c>
      <c r="H34" s="7">
        <f>IF(H13&gt;='Phase II - Summary'!$D$23,-SUM('Phase II - CF Affordable Rental'!E54:E56),0)</f>
        <v>0</v>
      </c>
      <c r="I34" s="7">
        <f>IF(I13&gt;='Phase II - Summary'!$D$23,-SUM('Phase II - CF Affordable Rental'!F54:F56),0)</f>
        <v>0</v>
      </c>
      <c r="J34" s="7">
        <f>IF(J13&gt;='Phase II - Summary'!$D$23,-SUM('Phase II - CF Affordable Rental'!G54:G56),0)</f>
        <v>0</v>
      </c>
      <c r="K34" s="7">
        <f>IF(K13&gt;='Phase II - Summary'!$D$23,-SUM('Phase II - CF Affordable Rental'!H54:H56),0)</f>
        <v>0</v>
      </c>
      <c r="L34" s="7">
        <f>IF(L13&gt;='Phase II - Summary'!$D$23,-SUM('Phase II - CF Affordable Rental'!I54:I56),0)</f>
        <v>0</v>
      </c>
      <c r="M34" s="7">
        <f>IF(M13&gt;='Phase II - Summary'!$D$23,-SUM('Phase II - CF Affordable Rental'!J54:J56),0)</f>
        <v>0</v>
      </c>
      <c r="N34" s="7">
        <f>IF(N13&gt;='Phase II - Summary'!$D$23,-SUM('Phase II - CF Affordable Rental'!K54:K56),0)</f>
        <v>528975.5964776472</v>
      </c>
      <c r="O34" s="7">
        <f>IF(O13&gt;='Phase II - Summary'!$D$23,-SUM('Phase II - CF Affordable Rental'!L54:L56),0)</f>
        <v>549809.38639888749</v>
      </c>
      <c r="P34" s="7">
        <f>IF(P13&gt;='Phase II - Summary'!$D$23,-SUM('Phase II - CF Affordable Rental'!M54:M56),0)</f>
        <v>571474.12494941673</v>
      </c>
      <c r="Q34" s="7">
        <f>IF(Q13&gt;='Phase II - Summary'!$D$23,-SUM('Phase II - CF Affordable Rental'!N54:N56),0)</f>
        <v>594003.1677241876</v>
      </c>
      <c r="R34" s="7">
        <f>IF(R13&gt;='Phase II - Summary'!$D$23,-SUM('Phase II - CF Affordable Rental'!O54:O56),0)</f>
        <v>617431.21358959528</v>
      </c>
      <c r="S34" s="7">
        <f>IF(S13&gt;='Phase II - Summary'!$D$23,-SUM('Phase II - CF Affordable Rental'!P54:P56),0)</f>
        <v>641794.35886575282</v>
      </c>
      <c r="T34" s="7">
        <f>IF(T13&gt;='Phase II - Summary'!$D$23,-SUM('Phase II - CF Affordable Rental'!Q54:Q56),0)</f>
        <v>667130.15369600977</v>
      </c>
      <c r="U34" s="7">
        <f>IF(U13&gt;='Phase II - Summary'!$D$23,-SUM('Phase II - CF Affordable Rental'!R54:R56),0)</f>
        <v>693477.6606920507</v>
      </c>
      <c r="V34" s="7">
        <f>IF(V13&gt;='Phase II - Summary'!$D$23,-SUM('Phase II - CF Affordable Rental'!S54:S56),0)</f>
        <v>720877.51594646578</v>
      </c>
      <c r="W34" s="7">
        <f>IF(W13&gt;='Phase II - Summary'!$D$23,-SUM('Phase II - CF Affordable Rental'!T54:T56),0)</f>
        <v>749371.99250840885</v>
      </c>
      <c r="X34" s="7">
        <f>IF(X13&gt;='Phase II - Summary'!$D$23,-SUM('Phase II - CF Affordable Rental'!U54:U56),0)</f>
        <v>779005.06642180821</v>
      </c>
      <c r="Y34" s="7">
        <f>IF(Y13&gt;='Phase II - Summary'!$D$23,-SUM('Phase II - CF Affordable Rental'!V54:V56),0)</f>
        <v>809822.4854296305</v>
      </c>
      <c r="Z34" s="7">
        <f>IF(Z13&gt;='Phase II - Summary'!$D$23,-SUM('Phase II - CF Affordable Rental'!W54:W56),0)</f>
        <v>841871.84045185556</v>
      </c>
      <c r="AA34" s="7">
        <f>IF(AA13&gt;='Phase II - Summary'!$D$23,-SUM('Phase II - CF Affordable Rental'!X54:X56),0)</f>
        <v>875202.63994919672</v>
      </c>
      <c r="AB34" s="7">
        <f>IF(AB13&gt;='Phase II - Summary'!$D$23,-SUM('Phase II - CF Affordable Rental'!Y54:Y56),0)</f>
        <v>909866.38728909218</v>
      </c>
      <c r="AC34" s="7">
        <f>IF(AC13&gt;='Phase II - Summary'!$D$23,-SUM('Phase II - CF Affordable Rental'!Z54:Z56),0)</f>
        <v>945916.66123523796</v>
      </c>
      <c r="AD34" s="7">
        <f>IF(AD13&gt;='Phase II - Summary'!$D$23,-SUM('Phase II - CF Affordable Rental'!AA54:AA56),0)</f>
        <v>983409.19968680153</v>
      </c>
      <c r="AE34" s="7">
        <f>IF(AE13&gt;='Phase II - Summary'!$D$23,-SUM('Phase II - CF Affordable Rental'!AB54:AB56),0)</f>
        <v>1022401.9867985615</v>
      </c>
      <c r="AF34" s="7">
        <f>IF(AF13&gt;='Phase II - Summary'!$D$23,-SUM('Phase II - CF Affordable Rental'!AC54:AC56),0)</f>
        <v>1062955.3436185247</v>
      </c>
      <c r="AG34" s="7">
        <f>IF(AG13&gt;='Phase II - Summary'!$D$23,-SUM('Phase II - CF Affordable Rental'!AD54:AD56),0)</f>
        <v>1105132.0223850806</v>
      </c>
      <c r="AH34" s="7">
        <f>IF(AH13&gt;='Phase II - Summary'!$D$23,-SUM('Phase II - CF Affordable Rental'!AE54:AE56),0)</f>
        <v>1148997.3046314921</v>
      </c>
      <c r="AI34" s="7">
        <f>IF(AI13&gt;='Phase II - Summary'!$D$23,-SUM('Phase II - CF Affordable Rental'!AF54:AF56),0)</f>
        <v>1194619.1032515008</v>
      </c>
      <c r="AJ34" s="7">
        <f>IF(AJ13&gt;='Phase II - Summary'!$D$23,-SUM('Phase II - CF Affordable Rental'!AG54:AG56),0)</f>
        <v>1242068.0686860152</v>
      </c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81"/>
      <c r="EH34" s="181"/>
    </row>
    <row r="35" spans="2:138">
      <c r="B35" t="str">
        <f>B27</f>
        <v>Commercial</v>
      </c>
      <c r="F35" s="7">
        <f>IF(F13&gt;='Phase II - Summary'!$D$23,'Phase II - CF Commercial'!C51-SUM('Phase II - CF Commercial'!C56:C57),0)</f>
        <v>0</v>
      </c>
      <c r="G35" s="7">
        <f>IF(G13&gt;='Phase II - Summary'!$D$23,'Phase II - CF Commercial'!D51-SUM('Phase II - CF Commercial'!D56:D57),0)</f>
        <v>0</v>
      </c>
      <c r="H35" s="7">
        <f>IF(H13&gt;='Phase II - Summary'!$D$23,'Phase II - CF Commercial'!E51-SUM('Phase II - CF Commercial'!E56:E57),0)</f>
        <v>0</v>
      </c>
      <c r="I35" s="7">
        <f>IF(I13&gt;='Phase II - Summary'!$D$23,'Phase II - CF Commercial'!F51-SUM('Phase II - CF Commercial'!F56:F57),0)</f>
        <v>0</v>
      </c>
      <c r="J35" s="7">
        <f>IF(J13&gt;='Phase II - Summary'!$D$23,'Phase II - CF Commercial'!G51-SUM('Phase II - CF Commercial'!G56:G57),0)</f>
        <v>0</v>
      </c>
      <c r="K35" s="7">
        <f>IF(K13&gt;='Phase II - Summary'!$D$23,'Phase II - CF Commercial'!H51-SUM('Phase II - CF Commercial'!H56:H57),0)</f>
        <v>0</v>
      </c>
      <c r="L35" s="7">
        <f>IF(L13&gt;='Phase II - Summary'!$D$23,'Phase II - CF Commercial'!I51-SUM('Phase II - CF Commercial'!I56:I57),0)</f>
        <v>0</v>
      </c>
      <c r="M35" s="7">
        <f>IF(M13&gt;='Phase II - Summary'!$D$23,'Phase II - CF Commercial'!J51-SUM('Phase II - CF Commercial'!J56:J57),0)</f>
        <v>0</v>
      </c>
      <c r="N35" s="7">
        <f ca="1">IF(N13&gt;='Phase II - Summary'!$D$23,'Phase II - CF Commercial'!K51-SUM('Phase II - CF Commercial'!K56:K57),0)</f>
        <v>5766215.9364286475</v>
      </c>
      <c r="O35" s="7">
        <f ca="1">IF(O13&gt;='Phase II - Summary'!$D$23,'Phase II - CF Commercial'!L51-SUM('Phase II - CF Commercial'!L56:L57),0)</f>
        <v>5889865.6592732463</v>
      </c>
      <c r="P35" s="7">
        <f ca="1">IF(P13&gt;='Phase II - Summary'!$D$23,'Phase II - CF Commercial'!M51-SUM('Phase II - CF Commercial'!M56:M57),0)</f>
        <v>6016238.1386982184</v>
      </c>
      <c r="Q35" s="7">
        <f ca="1">IF(Q13&gt;='Phase II - Summary'!$D$23,'Phase II - CF Commercial'!N51-SUM('Phase II - CF Commercial'!N56:N57),0)</f>
        <v>6145395.3226988744</v>
      </c>
      <c r="R35" s="7">
        <f ca="1">IF(R13&gt;='Phase II - Summary'!$D$23,'Phase II - CF Commercial'!O51-SUM('Phase II - CF Commercial'!O56:O57),0)</f>
        <v>6277400.6230163425</v>
      </c>
      <c r="S35" s="7">
        <f ca="1">IF(S13&gt;='Phase II - Summary'!$D$23,'Phase II - CF Commercial'!P51-SUM('Phase II - CF Commercial'!P56:P57),0)</f>
        <v>6412318.9511560686</v>
      </c>
      <c r="T35" s="7">
        <f ca="1">IF(T13&gt;='Phase II - Summary'!$D$23,'Phase II - CF Commercial'!Q51-SUM('Phase II - CF Commercial'!Q56:Q57),0)</f>
        <v>6550216.7553289691</v>
      </c>
      <c r="U35" s="7">
        <f ca="1">IF(U13&gt;='Phase II - Summary'!$D$23,'Phase II - CF Commercial'!R51-SUM('Phase II - CF Commercial'!R56:R57),0)</f>
        <v>6691162.0583398212</v>
      </c>
      <c r="V35" s="7">
        <f ca="1">IF(V13&gt;='Phase II - Summary'!$D$23,'Phase II - CF Commercial'!S51-SUM('Phase II - CF Commercial'!S56:S57),0)</f>
        <v>6835224.4964480177</v>
      </c>
      <c r="W35" s="7">
        <f ca="1">IF(W13&gt;='Phase II - Summary'!$D$23,'Phase II - CF Commercial'!T51-SUM('Phase II - CF Commercial'!T56:T57),0)</f>
        <v>6982475.3592266226</v>
      </c>
      <c r="X35" s="7">
        <f ca="1">IF(X13&gt;='Phase II - Summary'!$D$23,'Phase II - CF Commercial'!U51-SUM('Phase II - CF Commercial'!U56:U57),0)</f>
        <v>7132987.6304462859</v>
      </c>
      <c r="Y35" s="7">
        <f ca="1">IF(Y13&gt;='Phase II - Summary'!$D$23,'Phase II - CF Commercial'!V51-SUM('Phase II - CF Commercial'!V56:V57),0)</f>
        <v>7286836.0300113987</v>
      </c>
      <c r="Z35" s="7">
        <f ca="1">IF(Z13&gt;='Phase II - Summary'!$D$23,'Phase II - CF Commercial'!W51-SUM('Phase II - CF Commercial'!W56:W57),0)</f>
        <v>7444097.0569764972</v>
      </c>
      <c r="AA35" s="7">
        <f ca="1">IF(AA13&gt;='Phase II - Summary'!$D$23,'Phase II - CF Commercial'!X51-SUM('Phase II - CF Commercial'!X56:X57),0)</f>
        <v>7604849.0336718448</v>
      </c>
      <c r="AB35" s="7">
        <f ca="1">IF(AB13&gt;='Phase II - Summary'!$D$23,'Phase II - CF Commercial'!Y51-SUM('Phase II - CF Commercial'!Y56:Y57),0)</f>
        <v>7769172.1509677749</v>
      </c>
      <c r="AC35" s="7">
        <f ca="1">IF(AC13&gt;='Phase II - Summary'!$D$23,'Phase II - CF Commercial'!Z51-SUM('Phase II - CF Commercial'!Z56:Z57),0)</f>
        <v>7937148.5147082964</v>
      </c>
      <c r="AD35" s="7">
        <f ca="1">IF(AD13&gt;='Phase II - Summary'!$D$23,'Phase II - CF Commercial'!AA51-SUM('Phase II - CF Commercial'!AA56:AA57),0)</f>
        <v>8108862.1933452645</v>
      </c>
      <c r="AE35" s="7">
        <f ca="1">IF(AE13&gt;='Phase II - Summary'!$D$23,'Phase II - CF Commercial'!AB51-SUM('Phase II - CF Commercial'!AB56:AB57),0)</f>
        <v>8284399.2668052576</v>
      </c>
      <c r="AF35" s="7">
        <f ca="1">IF(AF13&gt;='Phase II - Summary'!$D$23,'Phase II - CF Commercial'!AC51-SUM('Phase II - CF Commercial'!AC56:AC57),0)</f>
        <v>8463847.876622241</v>
      </c>
      <c r="AG35" s="7">
        <f ca="1">IF(AG13&gt;='Phase II - Summary'!$D$23,'Phase II - CF Commercial'!AD51-SUM('Phase II - CF Commercial'!AD56:AD57),0)</f>
        <v>8647298.2773699909</v>
      </c>
      <c r="AH35" s="7">
        <f ca="1">IF(AH13&gt;='Phase II - Summary'!$D$23,'Phase II - CF Commercial'!AE51-SUM('Phase II - CF Commercial'!AE56:AE57),0)</f>
        <v>8834842.8894291539</v>
      </c>
      <c r="AI35" s="7">
        <f ca="1">IF(AI13&gt;='Phase II - Summary'!$D$23,'Phase II - CF Commercial'!AF51-SUM('Phase II - CF Commercial'!AF56:AF57),0)</f>
        <v>9026576.3531248551</v>
      </c>
      <c r="AJ35" s="7">
        <f ca="1">IF(AJ13&gt;='Phase II - Summary'!$D$23,'Phase II - CF Commercial'!AG51-SUM('Phase II - CF Commercial'!AG56:AG57),0)</f>
        <v>9222595.5842716843</v>
      </c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81"/>
      <c r="EH35" s="181"/>
    </row>
    <row r="36" spans="2:138">
      <c r="B36" t="str">
        <f>B28</f>
        <v>Hotel</v>
      </c>
      <c r="F36" s="7">
        <f>IF(F13&gt;='Phase II - Summary'!$D$23,SUM('Phase II - CF Hotel'!C53,'Phase II - CF Hotel'!C62),0)</f>
        <v>0</v>
      </c>
      <c r="G36" s="7">
        <f>IF(G13&gt;='Phase II - Summary'!$D$23,SUM('Phase II - CF Hotel'!D53,'Phase II - CF Hotel'!D62),0)</f>
        <v>0</v>
      </c>
      <c r="H36" s="7">
        <f>IF(H13&gt;='Phase II - Summary'!$D$23,SUM('Phase II - CF Hotel'!E53,'Phase II - CF Hotel'!E62),0)</f>
        <v>0</v>
      </c>
      <c r="I36" s="7">
        <f>IF(I13&gt;='Phase II - Summary'!$D$23,SUM('Phase II - CF Hotel'!F53,'Phase II - CF Hotel'!F62),0)</f>
        <v>0</v>
      </c>
      <c r="J36" s="7">
        <f>IF(J13&gt;='Phase II - Summary'!$D$23,SUM('Phase II - CF Hotel'!G53,'Phase II - CF Hotel'!G62),0)</f>
        <v>0</v>
      </c>
      <c r="K36" s="7">
        <f>IF(K13&gt;='Phase II - Summary'!$D$23,SUM('Phase II - CF Hotel'!H53,'Phase II - CF Hotel'!H62),0)</f>
        <v>0</v>
      </c>
      <c r="L36" s="7">
        <f>IF(L13&gt;='Phase II - Summary'!$D$23,SUM('Phase II - CF Hotel'!I53,'Phase II - CF Hotel'!I62),0)</f>
        <v>0</v>
      </c>
      <c r="M36" s="7">
        <f>IF(M13&gt;='Phase II - Summary'!$D$23,SUM('Phase II - CF Hotel'!J53,'Phase II - CF Hotel'!J62),0)</f>
        <v>0</v>
      </c>
      <c r="N36" s="7">
        <f>IF(N13&gt;='Phase II - Summary'!$D$23,SUM('Phase II - CF Hotel'!K53,'Phase II - CF Hotel'!K62),0)</f>
        <v>9267034.5505687911</v>
      </c>
      <c r="O36" s="7">
        <f>IF(O13&gt;='Phase II - Summary'!$D$23,SUM('Phase II - CF Hotel'!L53,'Phase II - CF Hotel'!L62),0)</f>
        <v>9267034.5505687911</v>
      </c>
      <c r="P36" s="7">
        <f>IF(P13&gt;='Phase II - Summary'!$D$23,SUM('Phase II - CF Hotel'!M53,'Phase II - CF Hotel'!M62),0)</f>
        <v>9267034.5505687911</v>
      </c>
      <c r="Q36" s="7">
        <f>IF(Q13&gt;='Phase II - Summary'!$D$23,SUM('Phase II - CF Hotel'!N53,'Phase II - CF Hotel'!N62),0)</f>
        <v>9267034.5505687911</v>
      </c>
      <c r="R36" s="7">
        <f>IF(R13&gt;='Phase II - Summary'!$D$23,SUM('Phase II - CF Hotel'!O53,'Phase II - CF Hotel'!O62),0)</f>
        <v>9267034.5505687911</v>
      </c>
      <c r="S36" s="7">
        <f>IF(S13&gt;='Phase II - Summary'!$D$23,SUM('Phase II - CF Hotel'!P53,'Phase II - CF Hotel'!P62),0)</f>
        <v>9267034.5505687911</v>
      </c>
      <c r="T36" s="7">
        <f>IF(T13&gt;='Phase II - Summary'!$D$23,SUM('Phase II - CF Hotel'!Q53,'Phase II - CF Hotel'!Q62),0)</f>
        <v>9267034.5505687911</v>
      </c>
      <c r="U36" s="7">
        <f>IF(U13&gt;='Phase II - Summary'!$D$23,SUM('Phase II - CF Hotel'!R53,'Phase II - CF Hotel'!R62),0)</f>
        <v>9267034.5505687911</v>
      </c>
      <c r="V36" s="7">
        <f>IF(V13&gt;='Phase II - Summary'!$D$23,SUM('Phase II - CF Hotel'!S53,'Phase II - CF Hotel'!S62),0)</f>
        <v>9267034.5505687911</v>
      </c>
      <c r="W36" s="7">
        <f>IF(W13&gt;='Phase II - Summary'!$D$23,SUM('Phase II - CF Hotel'!T53,'Phase II - CF Hotel'!T62),0)</f>
        <v>9267034.5505687911</v>
      </c>
      <c r="X36" s="7">
        <f>IF(X13&gt;='Phase II - Summary'!$D$23,SUM('Phase II - CF Hotel'!U53,'Phase II - CF Hotel'!U62),0)</f>
        <v>9267034.5505687911</v>
      </c>
      <c r="Y36" s="7">
        <f>IF(Y13&gt;='Phase II - Summary'!$D$23,SUM('Phase II - CF Hotel'!V53,'Phase II - CF Hotel'!V62),0)</f>
        <v>9267034.5505687911</v>
      </c>
      <c r="Z36" s="7">
        <f>IF(Z13&gt;='Phase II - Summary'!$D$23,SUM('Phase II - CF Hotel'!W53,'Phase II - CF Hotel'!W62),0)</f>
        <v>9267034.5505687911</v>
      </c>
      <c r="AA36" s="7">
        <f>IF(AA13&gt;='Phase II - Summary'!$D$23,SUM('Phase II - CF Hotel'!X53,'Phase II - CF Hotel'!X62),0)</f>
        <v>9267034.5505687911</v>
      </c>
      <c r="AB36" s="7">
        <f>IF(AB13&gt;='Phase II - Summary'!$D$23,SUM('Phase II - CF Hotel'!Y53,'Phase II - CF Hotel'!Y62),0)</f>
        <v>9267034.5505687911</v>
      </c>
      <c r="AC36" s="7">
        <f>IF(AC13&gt;='Phase II - Summary'!$D$23,SUM('Phase II - CF Hotel'!Z53,'Phase II - CF Hotel'!Z62),0)</f>
        <v>9267034.5505687911</v>
      </c>
      <c r="AD36" s="7">
        <f>IF(AD13&gt;='Phase II - Summary'!$D$23,SUM('Phase II - CF Hotel'!AA53,'Phase II - CF Hotel'!AA62),0)</f>
        <v>9267034.5505687911</v>
      </c>
      <c r="AE36" s="7">
        <f>IF(AE13&gt;='Phase II - Summary'!$D$23,SUM('Phase II - CF Hotel'!AB53,'Phase II - CF Hotel'!AB62),0)</f>
        <v>9267034.5505687911</v>
      </c>
      <c r="AF36" s="7">
        <f>IF(AF13&gt;='Phase II - Summary'!$D$23,SUM('Phase II - CF Hotel'!AC53,'Phase II - CF Hotel'!AC62),0)</f>
        <v>9267034.5505687911</v>
      </c>
      <c r="AG36" s="7">
        <f>IF(AG13&gt;='Phase II - Summary'!$D$23,SUM('Phase II - CF Hotel'!AD53,'Phase II - CF Hotel'!AD62),0)</f>
        <v>9267034.5505687911</v>
      </c>
      <c r="AH36" s="7">
        <f>IF(AH13&gt;='Phase II - Summary'!$D$23,SUM('Phase II - CF Hotel'!AE53,'Phase II - CF Hotel'!AE62),0)</f>
        <v>9267034.5505687911</v>
      </c>
      <c r="AI36" s="7">
        <f>IF(AI13&gt;='Phase II - Summary'!$D$23,SUM('Phase II - CF Hotel'!AF53,'Phase II - CF Hotel'!AF62),0)</f>
        <v>9267034.5505687911</v>
      </c>
      <c r="AJ36" s="7">
        <f>IF(AJ13&gt;='Phase II - Summary'!$D$23,SUM('Phase II - CF Hotel'!AG53,'Phase II - CF Hotel'!AG62),0)</f>
        <v>9267034.5505687911</v>
      </c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81"/>
      <c r="EH36" s="181"/>
    </row>
    <row r="37" spans="2:138">
      <c r="B37" t="str">
        <f>B29</f>
        <v>Retail</v>
      </c>
      <c r="F37" s="7">
        <f>IF(F13&gt;='Phase II - Summary'!$D$23,'Phase II - CF Retail'!C53-SUM('Phase II - CF Retail'!C58:C59),0)</f>
        <v>0</v>
      </c>
      <c r="G37" s="7">
        <f>IF(G13&gt;='Phase II - Summary'!$D$23,'Phase II - CF Retail'!D53-SUM('Phase II - CF Retail'!D58:D59),0)</f>
        <v>0</v>
      </c>
      <c r="H37" s="7">
        <f>IF(H13&gt;='Phase II - Summary'!$D$23,'Phase II - CF Retail'!E53-SUM('Phase II - CF Retail'!E58:E59),0)</f>
        <v>0</v>
      </c>
      <c r="I37" s="7">
        <f>IF(I13&gt;='Phase II - Summary'!$D$23,'Phase II - CF Retail'!F53-SUM('Phase II - CF Retail'!F58:F59),0)</f>
        <v>0</v>
      </c>
      <c r="J37" s="7">
        <f>IF(J13&gt;='Phase II - Summary'!$D$23,'Phase II - CF Retail'!G53-SUM('Phase II - CF Retail'!G58:G59),0)</f>
        <v>0</v>
      </c>
      <c r="K37" s="7">
        <f>IF(K13&gt;='Phase II - Summary'!$D$23,'Phase II - CF Retail'!H53-SUM('Phase II - CF Retail'!H58:H59),0)</f>
        <v>0</v>
      </c>
      <c r="L37" s="7">
        <f>IF(L13&gt;='Phase II - Summary'!$D$23,'Phase II - CF Retail'!I53-SUM('Phase II - CF Retail'!I58:I59),0)</f>
        <v>0</v>
      </c>
      <c r="M37" s="7">
        <f>IF(M13&gt;='Phase II - Summary'!$D$23,'Phase II - CF Retail'!J53-SUM('Phase II - CF Retail'!J58:J59),0)</f>
        <v>0</v>
      </c>
      <c r="N37" s="7">
        <f>IF(N13&gt;='Phase II - Summary'!$D$23,'Phase II - CF Retail'!K53-SUM('Phase II - CF Retail'!K58:K59),0)</f>
        <v>1726223.7417160554</v>
      </c>
      <c r="O37" s="7">
        <f>IF(O13&gt;='Phase II - Summary'!$D$23,'Phase II - CF Retail'!L53-SUM('Phase II - CF Retail'!L58:L59),0)</f>
        <v>1762844.3465411761</v>
      </c>
      <c r="P37" s="7">
        <f>IF(P13&gt;='Phase II - Summary'!$D$23,'Phase II - CF Retail'!M53-SUM('Phase II - CF Retail'!M58:M59),0)</f>
        <v>1800260.2473625229</v>
      </c>
      <c r="Q37" s="7">
        <f>IF(Q13&gt;='Phase II - Summary'!$D$23,'Phase II - CF Retail'!N53-SUM('Phase II - CF Retail'!N58:N59),0)</f>
        <v>1838489.2366170124</v>
      </c>
      <c r="R37" s="7">
        <f>IF(R13&gt;='Phase II - Summary'!$D$23,'Phase II - CF Retail'!O53-SUM('Phase II - CF Retail'!O58:O59),0)</f>
        <v>1877549.5191858083</v>
      </c>
      <c r="S37" s="7">
        <f>IF(S13&gt;='Phase II - Summary'!$D$23,'Phase II - CF Retail'!P53-SUM('Phase II - CF Retail'!P58:P59),0)</f>
        <v>1917459.7223410746</v>
      </c>
      <c r="T37" s="7">
        <f>IF(T13&gt;='Phase II - Summary'!$D$23,'Phase II - CF Retail'!Q53-SUM('Phase II - CF Retail'!Q58:Q59),0)</f>
        <v>1958238.9059425925</v>
      </c>
      <c r="U37" s="7">
        <f>IF(U13&gt;='Phase II - Summary'!$D$23,'Phase II - CF Retail'!R53-SUM('Phase II - CF Retail'!R58:R59),0)</f>
        <v>1999906.5728907813</v>
      </c>
      <c r="V37" s="7">
        <f>IF(V13&gt;='Phase II - Summary'!$D$23,'Phase II - CF Retail'!S53-SUM('Phase II - CF Retail'!S58:S59),0)</f>
        <v>2042482.6798428143</v>
      </c>
      <c r="W37" s="7">
        <f>IF(W13&gt;='Phase II - Summary'!$D$23,'Phase II - CF Retail'!T53-SUM('Phase II - CF Retail'!T58:T59),0)</f>
        <v>2085987.6481987145</v>
      </c>
      <c r="X37" s="7">
        <f>IF(X13&gt;='Phase II - Summary'!$D$23,'Phase II - CF Retail'!U53-SUM('Phase II - CF Retail'!U58:U59),0)</f>
        <v>2130442.3753645038</v>
      </c>
      <c r="Y37" s="7">
        <f>IF(Y13&gt;='Phase II - Summary'!$D$23,'Phase II - CF Retail'!V53-SUM('Phase II - CF Retail'!V58:V59),0)</f>
        <v>2175868.246299664</v>
      </c>
      <c r="Z37" s="7">
        <f>IF(Z13&gt;='Phase II - Summary'!$D$23,'Phase II - CF Retail'!W53-SUM('Phase II - CF Retail'!W58:W59),0)</f>
        <v>2222287.1453563622</v>
      </c>
      <c r="AA37" s="7">
        <f>IF(AA13&gt;='Phase II - Summary'!$D$23,'Phase II - CF Retail'!X53-SUM('Phase II - CF Retail'!X58:X59),0)</f>
        <v>2269721.4684181171</v>
      </c>
      <c r="AB37" s="7">
        <f>IF(AB13&gt;='Phase II - Summary'!$D$23,'Phase II - CF Retail'!Y53-SUM('Phase II - CF Retail'!Y58:Y59),0)</f>
        <v>2318194.1353457449</v>
      </c>
      <c r="AC37" s="7">
        <f>IF(AC13&gt;='Phase II - Summary'!$D$23,'Phase II - CF Retail'!Z53-SUM('Phase II - CF Retail'!Z58:Z59),0)</f>
        <v>2367728.6027387031</v>
      </c>
      <c r="AD37" s="7">
        <f>IF(AD13&gt;='Phase II - Summary'!$D$23,'Phase II - CF Retail'!AA53-SUM('Phase II - CF Retail'!AA58:AA59),0)</f>
        <v>2418348.8770201025</v>
      </c>
      <c r="AE37" s="7">
        <f>IF(AE13&gt;='Phase II - Summary'!$D$23,'Phase II - CF Retail'!AB53-SUM('Phase II - CF Retail'!AB58:AB59),0)</f>
        <v>2470079.527853928</v>
      </c>
      <c r="AF37" s="7">
        <f>IF(AF13&gt;='Phase II - Summary'!$D$23,'Phase II - CF Retail'!AC53-SUM('Phase II - CF Retail'!AC58:AC59),0)</f>
        <v>2522945.7019032328</v>
      </c>
      <c r="AG37" s="7">
        <f>IF(AG13&gt;='Phase II - Summary'!$D$23,'Phase II - CF Retail'!AD53-SUM('Phase II - CF Retail'!AD58:AD59),0)</f>
        <v>2576973.1369382911</v>
      </c>
      <c r="AH37" s="7">
        <f>IF(AH13&gt;='Phase II - Summary'!$D$23,'Phase II - CF Retail'!AE53-SUM('Phase II - CF Retail'!AE58:AE59),0)</f>
        <v>2632188.1763039595</v>
      </c>
      <c r="AI37" s="7">
        <f>IF(AI13&gt;='Phase II - Summary'!$D$23,'Phase II - CF Retail'!AF53-SUM('Phase II - CF Retail'!AF58:AF59),0)</f>
        <v>2688617.783755749</v>
      </c>
      <c r="AJ37" s="7">
        <f>IF(AJ13&gt;='Phase II - Summary'!$D$23,'Phase II - CF Retail'!AG53-SUM('Phase II - CF Retail'!AG58:AG59),0)</f>
        <v>2746289.5586743457</v>
      </c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81"/>
      <c r="EH37" s="181"/>
    </row>
    <row r="38" spans="2:138">
      <c r="B38" s="42" t="s">
        <v>631</v>
      </c>
      <c r="C38" s="42"/>
      <c r="D38" s="42"/>
      <c r="E38" s="42"/>
      <c r="F38" s="22">
        <f t="shared" ref="F38:AJ38" si="5">SUM(F33:F37)</f>
        <v>0</v>
      </c>
      <c r="G38" s="22">
        <f t="shared" si="5"/>
        <v>0</v>
      </c>
      <c r="H38" s="22">
        <f t="shared" si="5"/>
        <v>0</v>
      </c>
      <c r="I38" s="22">
        <f t="shared" si="5"/>
        <v>0</v>
      </c>
      <c r="J38" s="22">
        <f t="shared" si="5"/>
        <v>0</v>
      </c>
      <c r="K38" s="22">
        <f t="shared" si="5"/>
        <v>0</v>
      </c>
      <c r="L38" s="22">
        <f t="shared" si="5"/>
        <v>0</v>
      </c>
      <c r="M38" s="22">
        <f t="shared" si="5"/>
        <v>0</v>
      </c>
      <c r="N38" s="22">
        <f t="shared" ca="1" si="5"/>
        <v>22100845.477619864</v>
      </c>
      <c r="O38" s="22">
        <f t="shared" ca="1" si="5"/>
        <v>22520563.155524526</v>
      </c>
      <c r="P38" s="22">
        <f t="shared" ca="1" si="5"/>
        <v>22956556.870995983</v>
      </c>
      <c r="Q38" s="22">
        <f t="shared" ca="1" si="5"/>
        <v>23409538.823807534</v>
      </c>
      <c r="R38" s="22">
        <f t="shared" ca="1" si="5"/>
        <v>23880254.61571474</v>
      </c>
      <c r="S38" s="22">
        <f t="shared" ca="1" si="5"/>
        <v>24369484.873874642</v>
      </c>
      <c r="T38" s="22">
        <f t="shared" ca="1" si="5"/>
        <v>24878046.954583313</v>
      </c>
      <c r="U38" s="22">
        <f t="shared" ca="1" si="5"/>
        <v>25406796.731341928</v>
      </c>
      <c r="V38" s="22">
        <f t="shared" ca="1" si="5"/>
        <v>25956630.471462093</v>
      </c>
      <c r="W38" s="22">
        <f t="shared" ca="1" si="5"/>
        <v>26528486.805633113</v>
      </c>
      <c r="X38" s="22">
        <f t="shared" ca="1" si="5"/>
        <v>27123348.795095287</v>
      </c>
      <c r="Y38" s="22">
        <f t="shared" ca="1" si="5"/>
        <v>27742246.101296782</v>
      </c>
      <c r="Z38" s="22">
        <f t="shared" ca="1" si="5"/>
        <v>28386257.263156142</v>
      </c>
      <c r="AA38" s="22">
        <f t="shared" ca="1" si="5"/>
        <v>29056512.087309968</v>
      </c>
      <c r="AB38" s="22">
        <f t="shared" ca="1" si="5"/>
        <v>29754194.156994928</v>
      </c>
      <c r="AC38" s="22">
        <f t="shared" ca="1" si="5"/>
        <v>30480543.465497497</v>
      </c>
      <c r="AD38" s="22">
        <f t="shared" ca="1" si="5"/>
        <v>31236859.18040223</v>
      </c>
      <c r="AE38" s="22">
        <f t="shared" ca="1" si="5"/>
        <v>32024502.545182705</v>
      </c>
      <c r="AF38" s="22">
        <f t="shared" ca="1" si="5"/>
        <v>32844899.925007708</v>
      </c>
      <c r="AG38" s="22">
        <f t="shared" ca="1" si="5"/>
        <v>33699546.003980845</v>
      </c>
      <c r="AH38" s="22">
        <f t="shared" ca="1" si="5"/>
        <v>34590007.141393833</v>
      </c>
      <c r="AI38" s="22">
        <f t="shared" ca="1" si="5"/>
        <v>35517924.894955277</v>
      </c>
      <c r="AJ38" s="22">
        <f t="shared" ca="1" si="5"/>
        <v>36485019.719356298</v>
      </c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81"/>
      <c r="EH38" s="181"/>
    </row>
    <row r="39" spans="2:138">
      <c r="B39" s="23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81"/>
      <c r="EH39" s="181"/>
    </row>
    <row r="40" spans="2:138" ht="14.4">
      <c r="B40" s="24" t="s">
        <v>629</v>
      </c>
      <c r="F40" s="7">
        <f>SUM(F25:F29)-SUM(F33:F37)</f>
        <v>0</v>
      </c>
      <c r="G40" s="7">
        <f t="shared" ref="G40:R40" si="6">SUM(G25:G29)-SUM(G33:G37)</f>
        <v>0</v>
      </c>
      <c r="H40" s="7">
        <f t="shared" si="6"/>
        <v>0</v>
      </c>
      <c r="I40" s="7">
        <f t="shared" si="6"/>
        <v>0</v>
      </c>
      <c r="J40" s="7">
        <f t="shared" si="6"/>
        <v>0</v>
      </c>
      <c r="K40" s="7">
        <f t="shared" si="6"/>
        <v>0</v>
      </c>
      <c r="L40" s="7">
        <f t="shared" si="6"/>
        <v>0</v>
      </c>
      <c r="M40" s="7">
        <f t="shared" si="6"/>
        <v>0</v>
      </c>
      <c r="N40" s="7">
        <f t="shared" ca="1" si="6"/>
        <v>36999318.28005439</v>
      </c>
      <c r="O40" s="7">
        <f t="shared" ca="1" si="6"/>
        <v>38245352.785160691</v>
      </c>
      <c r="P40" s="7">
        <f t="shared" ca="1" si="6"/>
        <v>39524820.669084407</v>
      </c>
      <c r="Q40" s="7">
        <f t="shared" ca="1" si="6"/>
        <v>40838495.751561671</v>
      </c>
      <c r="R40" s="7">
        <f t="shared" ca="1" si="6"/>
        <v>42187162.92567195</v>
      </c>
      <c r="S40" s="7">
        <f t="shared" ref="S40:AD40" ca="1" si="7">SUM(S25:S29)-SUM(S33:S37)</f>
        <v>43571617.866573445</v>
      </c>
      <c r="T40" s="7">
        <f t="shared" ca="1" si="7"/>
        <v>44992666.699842706</v>
      </c>
      <c r="U40" s="7">
        <f t="shared" ca="1" si="7"/>
        <v>46451125.62660493</v>
      </c>
      <c r="V40" s="7">
        <f t="shared" ca="1" si="7"/>
        <v>47947820.502477266</v>
      </c>
      <c r="W40" s="7">
        <f t="shared" ca="1" si="7"/>
        <v>49483586.367171854</v>
      </c>
      <c r="X40" s="7">
        <f t="shared" ca="1" si="7"/>
        <v>51059266.921422519</v>
      </c>
      <c r="Y40" s="7">
        <f t="shared" ca="1" si="7"/>
        <v>52675713.947704107</v>
      </c>
      <c r="Z40" s="7">
        <f t="shared" ca="1" si="7"/>
        <v>54333786.671010345</v>
      </c>
      <c r="AA40" s="7">
        <f t="shared" ca="1" si="7"/>
        <v>56034351.055739254</v>
      </c>
      <c r="AB40" s="7">
        <f t="shared" ca="1" si="7"/>
        <v>57778279.034508973</v>
      </c>
      <c r="AC40" s="7">
        <f t="shared" ca="1" si="7"/>
        <v>59566447.664486259</v>
      </c>
      <c r="AD40" s="7">
        <f t="shared" ca="1" si="7"/>
        <v>61399738.206558734</v>
      </c>
      <c r="AE40" s="7">
        <f t="shared" ref="AE40:AJ40" ca="1" si="8">SUM(AE25:AE29)-SUM(AE33:AE37)</f>
        <v>63279035.122414634</v>
      </c>
      <c r="AF40" s="7">
        <f t="shared" ca="1" si="8"/>
        <v>65205224.984313898</v>
      </c>
      <c r="AG40" s="7">
        <f t="shared" ca="1" si="8"/>
        <v>67179195.292039007</v>
      </c>
      <c r="AH40" s="7">
        <f t="shared" ca="1" si="8"/>
        <v>69201833.191201836</v>
      </c>
      <c r="AI40" s="7">
        <f t="shared" ca="1" si="8"/>
        <v>71274024.086755648</v>
      </c>
      <c r="AJ40" s="7">
        <f t="shared" ca="1" si="8"/>
        <v>73396650.145214409</v>
      </c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81"/>
      <c r="EH40" s="181"/>
    </row>
    <row r="41" spans="2:138" ht="14.4">
      <c r="C41" s="10"/>
      <c r="D41" s="10"/>
      <c r="E41" s="10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  <c r="EC41" s="190"/>
      <c r="ED41" s="190"/>
      <c r="EE41" s="190"/>
      <c r="EF41" s="190"/>
      <c r="EG41" s="190"/>
      <c r="EH41" s="190"/>
    </row>
    <row r="42" spans="2:138">
      <c r="B42" s="1" t="s">
        <v>633</v>
      </c>
      <c r="F42" s="7" t="b">
        <f>IF(F13&gt;='Phase II - Summary'!$D$23,'Phase II - Pro Forma'!G40/'Phase II - Summary'!$D$28)</f>
        <v>0</v>
      </c>
      <c r="G42" s="7" t="b">
        <f>IF(G13&gt;='Phase II - Summary'!$D$23,'Phase II - Pro Forma'!H40/'Phase II - Summary'!$D$28)</f>
        <v>0</v>
      </c>
      <c r="H42" s="7" t="b">
        <f>IF(H13&gt;='Phase II - Summary'!$D$23,'Phase II - Pro Forma'!I40/'Phase II - Summary'!$D$28)</f>
        <v>0</v>
      </c>
      <c r="I42" s="7" t="b">
        <f>IF(I13&gt;='Phase II - Summary'!$D$23,'Phase II - Pro Forma'!J40/'Phase II - Summary'!$D$28)</f>
        <v>0</v>
      </c>
      <c r="J42" s="7" t="b">
        <f>IF(J13&gt;='Phase II - Summary'!$D$23,'Phase II - Pro Forma'!K40/'Phase II - Summary'!$D$28)</f>
        <v>0</v>
      </c>
      <c r="K42" s="7" t="b">
        <f>IF(K13&gt;='Phase II - Summary'!$D$23,'Phase II - Pro Forma'!L40/'Phase II - Summary'!$D$28)</f>
        <v>0</v>
      </c>
      <c r="L42" s="7" t="b">
        <f>IF(L13&gt;='Phase II - Summary'!$D$23,'Phase II - Pro Forma'!M40/'Phase II - Summary'!$D$28)</f>
        <v>0</v>
      </c>
      <c r="M42" s="7" t="b">
        <f>IF(M13&gt;='Phase II - Summary'!$D$23,'Phase II - Pro Forma'!N40/'Phase II - Summary'!$D$28)</f>
        <v>0</v>
      </c>
      <c r="N42" s="7">
        <f ca="1">IF(N13&gt;='Phase II - Summary'!$D$23,'Phase II - Pro Forma'!O40/'Phase II - Summary'!$D$28)</f>
        <v>849896728.5591265</v>
      </c>
      <c r="O42" s="7">
        <f ca="1">IF(O13&gt;='Phase II - Summary'!$D$23,'Phase II - Pro Forma'!P40/'Phase II - Summary'!$D$28)</f>
        <v>878329348.20187581</v>
      </c>
      <c r="P42" s="7">
        <f ca="1">IF(P13&gt;='Phase II - Summary'!$D$23,'Phase II - Pro Forma'!Q40/'Phase II - Summary'!$D$28)</f>
        <v>907522127.81248164</v>
      </c>
      <c r="Q42" s="7">
        <f ca="1">IF(Q13&gt;='Phase II - Summary'!$D$23,'Phase II - Pro Forma'!R40/'Phase II - Summary'!$D$28)</f>
        <v>937492509.45937669</v>
      </c>
      <c r="R42" s="7">
        <f ca="1">IF(R13&gt;='Phase II - Summary'!$D$23,'Phase II - Pro Forma'!S40/'Phase II - Summary'!$D$28)</f>
        <v>968258174.81274331</v>
      </c>
      <c r="S42" s="7">
        <f ca="1">IF(S13&gt;='Phase II - Summary'!$D$23,'Phase II - Pro Forma'!T40/'Phase II - Summary'!$D$28)</f>
        <v>999837037.77428246</v>
      </c>
      <c r="T42" s="7">
        <f ca="1">IF(T13&gt;='Phase II - Summary'!$D$23,'Phase II - Pro Forma'!U40/'Phase II - Summary'!$D$28)</f>
        <v>1032247236.1467762</v>
      </c>
      <c r="U42" s="7">
        <f ca="1">IF(U13&gt;='Phase II - Summary'!$D$23,'Phase II - Pro Forma'!V40/'Phase II - Summary'!$D$28)</f>
        <v>1065507122.2772726</v>
      </c>
      <c r="V42" s="7">
        <f ca="1">IF(V13&gt;='Phase II - Summary'!$D$23,'Phase II - Pro Forma'!W40/'Phase II - Summary'!$D$28)</f>
        <v>1099635252.6038191</v>
      </c>
      <c r="W42" s="7">
        <f ca="1">IF(W13&gt;='Phase II - Summary'!$D$23,'Phase II - Pro Forma'!X40/'Phase II - Summary'!$D$28)</f>
        <v>1134650376.0316117</v>
      </c>
      <c r="X42" s="7">
        <f ca="1">IF(X13&gt;='Phase II - Summary'!$D$23,'Phase II - Pro Forma'!Y40/'Phase II - Summary'!$D$28)</f>
        <v>1170571421.0600913</v>
      </c>
      <c r="Y42" s="7">
        <f ca="1">IF(Y13&gt;='Phase II - Summary'!$D$23,'Phase II - Pro Forma'!Z40/'Phase II - Summary'!$D$28)</f>
        <v>1207417481.5780077</v>
      </c>
      <c r="Z42" s="7">
        <f ca="1">IF(Z13&gt;='Phase II - Summary'!$D$23,'Phase II - Pro Forma'!AA40/'Phase II - Summary'!$D$28)</f>
        <v>1245207801.2386501</v>
      </c>
      <c r="AA42" s="7">
        <f ca="1">IF(AA13&gt;='Phase II - Summary'!$D$23,'Phase II - Pro Forma'!AB40/'Phase II - Summary'!$D$28)</f>
        <v>1283961756.3224218</v>
      </c>
      <c r="AB42" s="7">
        <f ca="1">IF(AB13&gt;='Phase II - Summary'!$D$23,'Phase II - Pro Forma'!AC40/'Phase II - Summary'!$D$28)</f>
        <v>1323698836.9885836</v>
      </c>
      <c r="AC42" s="7">
        <f ca="1">IF(AC13&gt;='Phase II - Summary'!$D$23,'Phase II - Pro Forma'!AD40/'Phase II - Summary'!$D$28)</f>
        <v>1364438626.8124163</v>
      </c>
      <c r="AD42" s="7">
        <f ca="1">IF(AD13&gt;='Phase II - Summary'!$D$23,'Phase II - Pro Forma'!AE40/'Phase II - Summary'!$D$28)</f>
        <v>1406200780.4981029</v>
      </c>
      <c r="AE42" s="7">
        <f ca="1">IF(AE13&gt;='Phase II - Summary'!$D$23,'Phase II - Pro Forma'!AF40/'Phase II - Summary'!$D$28)</f>
        <v>1449004999.6514201</v>
      </c>
      <c r="AF42" s="7">
        <f ca="1">IF(AF13&gt;='Phase II - Summary'!$D$23,'Phase II - Pro Forma'!AG40/'Phase II - Summary'!$D$28)</f>
        <v>1492871006.4897559</v>
      </c>
      <c r="AG42" s="7">
        <f ca="1">IF(AG13&gt;='Phase II - Summary'!$D$23,'Phase II - Pro Forma'!AH40/'Phase II - Summary'!$D$28)</f>
        <v>1537818515.3600409</v>
      </c>
      <c r="AH42" s="7">
        <f ca="1">IF(AH13&gt;='Phase II - Summary'!$D$23,'Phase II - Pro Forma'!AI40/'Phase II - Summary'!$D$28)</f>
        <v>1583867201.9279034</v>
      </c>
      <c r="AI42" s="7">
        <f ca="1">IF(AI13&gt;='Phase II - Summary'!$D$23,'Phase II - Pro Forma'!AJ40/'Phase II - Summary'!$D$28)</f>
        <v>1631036669.8936536</v>
      </c>
      <c r="AJ42" s="7">
        <f>IF(AJ13&gt;='Phase II - Summary'!$D$23,'Phase II - Pro Forma'!AK40/'Phase II - Summary'!$D$28)</f>
        <v>0</v>
      </c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</row>
    <row r="43" spans="2:138">
      <c r="B43" t="s">
        <v>405</v>
      </c>
      <c r="F43" s="7">
        <f>-F42*'Phase II - Summary'!$D$29</f>
        <v>0</v>
      </c>
      <c r="G43" s="7">
        <f>-G42*'Phase II - Summary'!$D$29</f>
        <v>0</v>
      </c>
      <c r="H43" s="7">
        <f>-H42*'Phase II - Summary'!$D$29</f>
        <v>0</v>
      </c>
      <c r="I43" s="7">
        <f>-I42*'Phase II - Summary'!$D$29</f>
        <v>0</v>
      </c>
      <c r="J43" s="7">
        <f>-J42*'Phase II - Summary'!$D$29</f>
        <v>0</v>
      </c>
      <c r="K43" s="7">
        <f>-K42*'Phase II - Summary'!$D$29</f>
        <v>0</v>
      </c>
      <c r="L43" s="7">
        <f>-L42*'Phase II - Summary'!$D$29</f>
        <v>0</v>
      </c>
      <c r="M43" s="7">
        <f>-M42*'Phase II - Summary'!$D$29</f>
        <v>0</v>
      </c>
      <c r="N43" s="7">
        <f ca="1">-N42*'Phase II - Summary'!$D$29</f>
        <v>-8498967.2855912652</v>
      </c>
      <c r="O43" s="7">
        <f ca="1">-O42*'Phase II - Summary'!$D$29</f>
        <v>-8783293.4820187576</v>
      </c>
      <c r="P43" s="7">
        <f ca="1">-P42*'Phase II - Summary'!$D$29</f>
        <v>-9075221.2781248167</v>
      </c>
      <c r="Q43" s="7">
        <f ca="1">-Q42*'Phase II - Summary'!$D$29</f>
        <v>-9374925.0945937671</v>
      </c>
      <c r="R43" s="7">
        <f ca="1">-R42*'Phase II - Summary'!$D$29</f>
        <v>-9682581.7481274325</v>
      </c>
      <c r="S43" s="7">
        <f ca="1">-S42*'Phase II - Summary'!$D$29</f>
        <v>-9998370.3777428251</v>
      </c>
      <c r="T43" s="7">
        <f ca="1">-T42*'Phase II - Summary'!$D$29</f>
        <v>-10322472.361467762</v>
      </c>
      <c r="U43" s="7">
        <f ca="1">-U42*'Phase II - Summary'!$D$29</f>
        <v>-10655071.222772727</v>
      </c>
      <c r="V43" s="7">
        <f ca="1">-V42*'Phase II - Summary'!$D$29</f>
        <v>-10996352.526038192</v>
      </c>
      <c r="W43" s="7">
        <f ca="1">-W42*'Phase II - Summary'!$D$29</f>
        <v>-11346503.760316117</v>
      </c>
      <c r="X43" s="7">
        <f ca="1">-X42*'Phase II - Summary'!$D$29</f>
        <v>-11705714.210600913</v>
      </c>
      <c r="Y43" s="7">
        <f ca="1">-Y42*'Phase II - Summary'!$D$29</f>
        <v>-12074174.815780077</v>
      </c>
      <c r="Z43" s="7">
        <f ca="1">-Z42*'Phase II - Summary'!$D$29</f>
        <v>-12452078.012386501</v>
      </c>
      <c r="AA43" s="7">
        <f ca="1">-AA42*'Phase II - Summary'!$D$29</f>
        <v>-12839617.563224219</v>
      </c>
      <c r="AB43" s="7">
        <f ca="1">-AB42*'Phase II - Summary'!$D$29</f>
        <v>-13236988.369885836</v>
      </c>
      <c r="AC43" s="7">
        <f ca="1">-AC42*'Phase II - Summary'!$D$29</f>
        <v>-13644386.268124163</v>
      </c>
      <c r="AD43" s="7">
        <f ca="1">-AD42*'Phase II - Summary'!$D$29</f>
        <v>-14062007.804981029</v>
      </c>
      <c r="AE43" s="7">
        <f ca="1">-AE42*'Phase II - Summary'!$D$29</f>
        <v>-14490049.996514201</v>
      </c>
      <c r="AF43" s="7">
        <f ca="1">-AF42*'Phase II - Summary'!$D$29</f>
        <v>-14928710.06489756</v>
      </c>
      <c r="AG43" s="7">
        <f ca="1">-AG42*'Phase II - Summary'!$D$29</f>
        <v>-15378185.15360041</v>
      </c>
      <c r="AH43" s="7">
        <f ca="1">-AH42*'Phase II - Summary'!$D$29</f>
        <v>-15838672.019279035</v>
      </c>
      <c r="AI43" s="7">
        <f ca="1">-AI42*'Phase II - Summary'!$D$29</f>
        <v>-16310366.698936537</v>
      </c>
      <c r="AJ43" s="7">
        <f>-AJ42*'Phase II - Summary'!$D$29</f>
        <v>0</v>
      </c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81"/>
      <c r="EH43" s="181"/>
    </row>
    <row r="44" spans="2:138">
      <c r="B44" t="s">
        <v>415</v>
      </c>
      <c r="F44" s="22" t="b">
        <f>IF(F13='Phase II - Summary'!$I$44,SUM('Phase II - Pro Forma'!F42:F43,0))</f>
        <v>0</v>
      </c>
      <c r="G44" s="22" t="b">
        <f>IF(G13='Phase II - Summary'!$I$44,SUM('Phase II - Pro Forma'!G42:G43,0))</f>
        <v>0</v>
      </c>
      <c r="H44" s="22" t="b">
        <f>IF(H13='Phase II - Summary'!$I$44,SUM('Phase II - Pro Forma'!H42:H43,0))</f>
        <v>0</v>
      </c>
      <c r="I44" s="22" t="b">
        <f>IF(I13='Phase II - Summary'!$I$44,SUM('Phase II - Pro Forma'!I42:I43,0))</f>
        <v>0</v>
      </c>
      <c r="J44" s="22" t="b">
        <f>IF(J13='Phase II - Summary'!$I$44,SUM('Phase II - Pro Forma'!J42:J43,0))</f>
        <v>0</v>
      </c>
      <c r="K44" s="22" t="b">
        <f>IF(K13='Phase II - Summary'!$I$44,SUM('Phase II - Pro Forma'!K42:K43,0))</f>
        <v>0</v>
      </c>
      <c r="L44" s="22" t="b">
        <f>IF(L13='Phase II - Summary'!$I$44,SUM('Phase II - Pro Forma'!L42:L43,0))</f>
        <v>0</v>
      </c>
      <c r="M44" s="22" t="b">
        <f>IF(M13='Phase II - Summary'!$I$44,SUM('Phase II - Pro Forma'!M42:M43,0))</f>
        <v>0</v>
      </c>
      <c r="N44" s="22" t="b">
        <f>IF(N13='Phase II - Summary'!$I$44,SUM('Phase II - Pro Forma'!N42:N43,0))</f>
        <v>0</v>
      </c>
      <c r="O44" s="22" t="b">
        <f>IF(O13='Phase II - Summary'!$I$44,SUM('Phase II - Pro Forma'!O42:O43,0))</f>
        <v>0</v>
      </c>
      <c r="P44" s="22" t="b">
        <f>IF(P13='Phase II - Summary'!$I$44,SUM('Phase II - Pro Forma'!P42:P43,0))</f>
        <v>0</v>
      </c>
      <c r="Q44" s="22">
        <f ca="1">IF(Q13='Phase II - Summary'!$I$44,SUM('Phase II - Pro Forma'!Q42:Q43,0))</f>
        <v>928117584.36478293</v>
      </c>
      <c r="R44" s="22" t="b">
        <f>IF(R13='Phase II - Summary'!$I$44,SUM('Phase II - Pro Forma'!R42:R43,0))</f>
        <v>0</v>
      </c>
      <c r="S44" s="22" t="b">
        <f>IF(S13='Phase II - Summary'!$I$44,SUM('Phase II - Pro Forma'!S42:S43,0))</f>
        <v>0</v>
      </c>
      <c r="T44" s="22" t="b">
        <f>IF(T13='Phase II - Summary'!$I$44,SUM('Phase II - Pro Forma'!T42:T43,0))</f>
        <v>0</v>
      </c>
      <c r="U44" s="22" t="b">
        <f>IF(U13='Phase II - Summary'!$I$44,SUM('Phase II - Pro Forma'!U42:U43,0))</f>
        <v>0</v>
      </c>
      <c r="V44" s="22" t="b">
        <f>IF(V13='Phase II - Summary'!$I$44,SUM('Phase II - Pro Forma'!V42:V43,0))</f>
        <v>0</v>
      </c>
      <c r="W44" s="22" t="b">
        <f>IF(W13='Phase II - Summary'!$I$44,SUM('Phase II - Pro Forma'!W42:W43,0))</f>
        <v>0</v>
      </c>
      <c r="X44" s="22" t="b">
        <f>IF(X13='Phase II - Summary'!$I$44,SUM('Phase II - Pro Forma'!X42:X43,0))</f>
        <v>0</v>
      </c>
      <c r="Y44" s="22" t="b">
        <f>IF(Y13='Phase II - Summary'!$I$44,SUM('Phase II - Pro Forma'!Y42:Y43,0))</f>
        <v>0</v>
      </c>
      <c r="Z44" s="22" t="b">
        <f>IF(Z13='Phase II - Summary'!$I$44,SUM('Phase II - Pro Forma'!Z42:Z43,0))</f>
        <v>0</v>
      </c>
      <c r="AA44" s="22" t="b">
        <f>IF(AA13='Phase II - Summary'!$I$44,SUM('Phase II - Pro Forma'!AA42:AA43,0))</f>
        <v>0</v>
      </c>
      <c r="AB44" s="22" t="b">
        <f>IF(AB13='Phase II - Summary'!$I$44,SUM('Phase II - Pro Forma'!AB42:AB43,0))</f>
        <v>0</v>
      </c>
      <c r="AC44" s="22" t="b">
        <f>IF(AC13='Phase II - Summary'!$I$44,SUM('Phase II - Pro Forma'!AC42:AC43,0))</f>
        <v>0</v>
      </c>
      <c r="AD44" s="22" t="b">
        <f>IF(AD13='Phase II - Summary'!$I$44,SUM('Phase II - Pro Forma'!AD42:AD43,0))</f>
        <v>0</v>
      </c>
      <c r="AE44" s="22" t="b">
        <f>IF(AE13='Phase II - Summary'!$I$44,SUM('Phase II - Pro Forma'!AE42:AE43,0))</f>
        <v>0</v>
      </c>
      <c r="AF44" s="22" t="b">
        <f>IF(AF13='Phase II - Summary'!$I$44,SUM('Phase II - Pro Forma'!AF42:AF43,0))</f>
        <v>0</v>
      </c>
      <c r="AG44" s="22" t="b">
        <f>IF(AG13='Phase II - Summary'!$I$44,SUM('Phase II - Pro Forma'!AG42:AG43,0))</f>
        <v>0</v>
      </c>
      <c r="AH44" s="22" t="b">
        <f>IF(AH13='Phase II - Summary'!$I$44,SUM('Phase II - Pro Forma'!AH42:AH43,0))</f>
        <v>0</v>
      </c>
      <c r="AI44" s="22" t="b">
        <f>IF(AI13='Phase II - Summary'!$I$44,SUM('Phase II - Pro Forma'!AI42:AI43,0))</f>
        <v>0</v>
      </c>
      <c r="AJ44" s="22" t="b">
        <f>IF(AJ13='Phase II - Summary'!$I$44,SUM('Phase II - Pro Forma'!AJ42:AJ43,0))</f>
        <v>0</v>
      </c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81"/>
      <c r="EH44" s="181"/>
    </row>
    <row r="46" spans="2:138" ht="13.8" thickBot="1">
      <c r="B46" t="s">
        <v>416</v>
      </c>
      <c r="D46" s="7">
        <f ca="1">SUM(F46:AJ46)</f>
        <v>638167046.34725904</v>
      </c>
      <c r="F46" s="7">
        <f ca="1">IF(F13&lt;='Phase II - Summary'!$I$44,F40-F22+F44,0)</f>
        <v>-104048017</v>
      </c>
      <c r="G46" s="7">
        <f ca="1">IF(G13&lt;='Phase II - Summary'!$I$44,G40-G22+G44,0)</f>
        <v>0</v>
      </c>
      <c r="H46" s="7">
        <f ca="1">IF(H13&lt;='Phase II - Summary'!$I$44,H40-H22+H44,0)</f>
        <v>0</v>
      </c>
      <c r="I46" s="7">
        <f ca="1">IF(I13&lt;='Phase II - Summary'!$I$44,I40-I22+I44,0)</f>
        <v>0</v>
      </c>
      <c r="J46" s="7">
        <f ca="1">IF(J13&lt;='Phase II - Summary'!$I$44,J40-J22+J44,0)</f>
        <v>0</v>
      </c>
      <c r="K46" s="7">
        <f ca="1">IF(K13&lt;='Phase II - Summary'!$I$44,K40-K22+K44,0)</f>
        <v>-113836836.16779502</v>
      </c>
      <c r="L46" s="7">
        <f ca="1">IF(L13&lt;='Phase II - Summary'!$I$44,L40-L22+L44,0)</f>
        <v>-113836836.16779502</v>
      </c>
      <c r="M46" s="7">
        <f ca="1">IF(M13&lt;='Phase II - Summary'!$I$44,M40-M22+M44,0)</f>
        <v>-113836836.16779502</v>
      </c>
      <c r="N46" s="7">
        <f ca="1">IF(N13&lt;='Phase II - Summary'!$I$44,N40-N22+N44,0)</f>
        <v>36999318.28005439</v>
      </c>
      <c r="O46" s="7">
        <f ca="1">IF(O13&lt;='Phase II - Summary'!$I$44,O40-O22+O44,0)</f>
        <v>38245352.785160691</v>
      </c>
      <c r="P46" s="7">
        <f ca="1">IF(P13&lt;='Phase II - Summary'!$I$44,P40-P22+P44,0)</f>
        <v>39524820.669084407</v>
      </c>
      <c r="Q46" s="7">
        <f ca="1">IF(Q13&lt;='Phase II - Summary'!$I$44,Q40-Q22+Q44,0)</f>
        <v>968956080.11634457</v>
      </c>
      <c r="R46" s="7">
        <f>IF(R13&lt;='Phase II - Summary'!$I$44,R40-R22+R44,0)</f>
        <v>0</v>
      </c>
      <c r="S46" s="7">
        <f>IF(S13&lt;='Phase II - Summary'!$I$44,S40-S22+S44,0)</f>
        <v>0</v>
      </c>
      <c r="T46" s="7">
        <f>IF(T13&lt;='Phase II - Summary'!$I$44,T40-T22+T44,0)</f>
        <v>0</v>
      </c>
      <c r="U46" s="7">
        <f>IF(U13&lt;='Phase II - Summary'!$I$44,U40-U22+U44,0)</f>
        <v>0</v>
      </c>
      <c r="V46" s="7">
        <f>IF(V13&lt;='Phase II - Summary'!$I$44,V40-V22+V44,0)</f>
        <v>0</v>
      </c>
      <c r="W46" s="7">
        <f>IF(W13&lt;='Phase II - Summary'!$I$44,W40-W22+W44,0)</f>
        <v>0</v>
      </c>
      <c r="X46" s="7">
        <f>IF(X13&lt;='Phase II - Summary'!$I$44,X40-X22+X44,0)</f>
        <v>0</v>
      </c>
      <c r="Y46" s="7">
        <f>IF(Y13&lt;='Phase II - Summary'!$I$44,Y40-Y22+Y44,0)</f>
        <v>0</v>
      </c>
      <c r="Z46" s="7">
        <f>IF(Z13&lt;='Phase II - Summary'!$I$44,Z40-Z22+Z44,0)</f>
        <v>0</v>
      </c>
      <c r="AA46" s="7">
        <f>IF(AA13&lt;='Phase II - Summary'!$I$44,AA40-AA22+AA44,0)</f>
        <v>0</v>
      </c>
      <c r="AB46" s="7">
        <f>IF(AB13&lt;='Phase II - Summary'!$I$44,AB40-AB22+AB44,0)</f>
        <v>0</v>
      </c>
      <c r="AC46" s="7">
        <f>IF(AC13&lt;='Phase II - Summary'!$I$44,AC40-AC22+AC44,0)</f>
        <v>0</v>
      </c>
      <c r="AD46" s="7">
        <f>IF(AD13&lt;='Phase II - Summary'!$I$44,AD40-AD22+AD44,0)</f>
        <v>0</v>
      </c>
      <c r="AE46" s="7">
        <f>IF(AE13&lt;='Phase II - Summary'!$I$44,AE40-AE22+AE44,0)</f>
        <v>0</v>
      </c>
      <c r="AF46" s="7">
        <f>IF(AF13&lt;='Phase II - Summary'!$I$44,AF40-AF22+AF44,0)</f>
        <v>0</v>
      </c>
      <c r="AG46" s="7">
        <f>IF(AG13&lt;='Phase II - Summary'!$I$44,AG40-AG22+AG44,0)</f>
        <v>0</v>
      </c>
      <c r="AH46" s="7">
        <f>IF(AH13&lt;='Phase II - Summary'!$I$44,AH40-AH22+AH44,0)</f>
        <v>0</v>
      </c>
      <c r="AI46" s="7">
        <f>IF(AI13&lt;='Phase II - Summary'!$I$44,AI40-AI22+AI44,0)</f>
        <v>0</v>
      </c>
      <c r="AJ46" s="7">
        <f>IF(AJ13&lt;='Phase II - Summary'!$I$44,AJ40-AJ22+AJ44,0)</f>
        <v>0</v>
      </c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</row>
    <row r="47" spans="2:138" ht="14.4">
      <c r="B47" s="26" t="s">
        <v>417</v>
      </c>
      <c r="C47" s="27"/>
      <c r="D47" s="28">
        <f ca="1">IRR(F46:AJ46)</f>
        <v>0.14250388643153555</v>
      </c>
    </row>
    <row r="48" spans="2:138" ht="15" thickBot="1">
      <c r="B48" s="29" t="s">
        <v>418</v>
      </c>
      <c r="C48" s="30"/>
      <c r="D48" s="31">
        <f ca="1">-SUMIF(F46:AJ46,"&gt;0")/SUMIF(F46:AJ46,"&lt;0")</f>
        <v>2.4322855692779486</v>
      </c>
    </row>
    <row r="49" spans="2:138">
      <c r="D49" s="4"/>
    </row>
    <row r="50" spans="2:138" ht="14.4">
      <c r="B50" s="10" t="s">
        <v>419</v>
      </c>
      <c r="D50" s="18" t="s">
        <v>16</v>
      </c>
    </row>
    <row r="51" spans="2:138">
      <c r="B51" s="32" t="s">
        <v>420</v>
      </c>
      <c r="D51" s="4"/>
      <c r="F51" s="7">
        <f ca="1">'Phase II - Summary'!G23</f>
        <v>136442784.82219931</v>
      </c>
      <c r="G51" s="7">
        <f ca="1">F53</f>
        <v>32394767.822199315</v>
      </c>
      <c r="H51" s="7">
        <f t="shared" ref="H51:AJ51" ca="1" si="9">G53</f>
        <v>32394767.822199315</v>
      </c>
      <c r="I51" s="7">
        <f t="shared" ca="1" si="9"/>
        <v>32394767.822199315</v>
      </c>
      <c r="J51" s="7">
        <f t="shared" ca="1" si="9"/>
        <v>32394767.822199315</v>
      </c>
      <c r="K51" s="7">
        <f t="shared" ca="1" si="9"/>
        <v>32394767.822199315</v>
      </c>
      <c r="L51" s="7">
        <f t="shared" ca="1" si="9"/>
        <v>0</v>
      </c>
      <c r="M51" s="7">
        <f t="shared" ca="1" si="9"/>
        <v>0</v>
      </c>
      <c r="N51" s="7">
        <f t="shared" ca="1" si="9"/>
        <v>0</v>
      </c>
      <c r="O51" s="7">
        <f t="shared" ca="1" si="9"/>
        <v>0</v>
      </c>
      <c r="P51" s="7">
        <f t="shared" ca="1" si="9"/>
        <v>0</v>
      </c>
      <c r="Q51" s="7">
        <f t="shared" ca="1" si="9"/>
        <v>0</v>
      </c>
      <c r="R51" s="7">
        <f t="shared" ca="1" si="9"/>
        <v>0</v>
      </c>
      <c r="S51" s="7">
        <f t="shared" ca="1" si="9"/>
        <v>0</v>
      </c>
      <c r="T51" s="7">
        <f t="shared" ca="1" si="9"/>
        <v>0</v>
      </c>
      <c r="U51" s="7">
        <f t="shared" ca="1" si="9"/>
        <v>0</v>
      </c>
      <c r="V51" s="7">
        <f t="shared" ca="1" si="9"/>
        <v>0</v>
      </c>
      <c r="W51" s="7">
        <f t="shared" ca="1" si="9"/>
        <v>0</v>
      </c>
      <c r="X51" s="7">
        <f t="shared" ca="1" si="9"/>
        <v>0</v>
      </c>
      <c r="Y51" s="7">
        <f t="shared" ca="1" si="9"/>
        <v>0</v>
      </c>
      <c r="Z51" s="7">
        <f t="shared" ca="1" si="9"/>
        <v>0</v>
      </c>
      <c r="AA51" s="7">
        <f t="shared" ca="1" si="9"/>
        <v>0</v>
      </c>
      <c r="AB51" s="7">
        <f t="shared" ca="1" si="9"/>
        <v>0</v>
      </c>
      <c r="AC51" s="7">
        <f t="shared" ca="1" si="9"/>
        <v>0</v>
      </c>
      <c r="AD51" s="7">
        <f t="shared" ca="1" si="9"/>
        <v>0</v>
      </c>
      <c r="AE51" s="7">
        <f t="shared" ca="1" si="9"/>
        <v>0</v>
      </c>
      <c r="AF51" s="7">
        <f t="shared" ca="1" si="9"/>
        <v>0</v>
      </c>
      <c r="AG51" s="7">
        <f t="shared" ca="1" si="9"/>
        <v>0</v>
      </c>
      <c r="AH51" s="7">
        <f t="shared" ca="1" si="9"/>
        <v>0</v>
      </c>
      <c r="AI51" s="7">
        <f t="shared" ca="1" si="9"/>
        <v>0</v>
      </c>
      <c r="AJ51" s="7">
        <f t="shared" ca="1" si="9"/>
        <v>0</v>
      </c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  <c r="CH51" s="181"/>
      <c r="CI51" s="181"/>
      <c r="CJ51" s="181"/>
      <c r="CK51" s="181"/>
      <c r="CL51" s="181"/>
      <c r="CM51" s="181"/>
      <c r="CN51" s="181"/>
      <c r="CO51" s="181"/>
      <c r="CP51" s="181"/>
      <c r="CQ51" s="181"/>
      <c r="CR51" s="181"/>
      <c r="CS51" s="181"/>
      <c r="CT51" s="181"/>
      <c r="CU51" s="181"/>
      <c r="CV51" s="181"/>
      <c r="CW51" s="181"/>
      <c r="CX51" s="181"/>
      <c r="CY51" s="181"/>
      <c r="CZ51" s="181"/>
      <c r="DA51" s="181"/>
      <c r="DB51" s="181"/>
      <c r="DC51" s="181"/>
      <c r="DD51" s="181"/>
      <c r="DE51" s="181"/>
      <c r="DF51" s="181"/>
      <c r="DG51" s="181"/>
      <c r="DH51" s="181"/>
      <c r="DI51" s="181"/>
      <c r="DJ51" s="181"/>
      <c r="DK51" s="181"/>
      <c r="DL51" s="181"/>
      <c r="DM51" s="181"/>
      <c r="DN51" s="181"/>
      <c r="DO51" s="181"/>
      <c r="DP51" s="181"/>
      <c r="DQ51" s="181"/>
      <c r="DR51" s="181"/>
      <c r="DS51" s="181"/>
      <c r="DT51" s="181"/>
      <c r="DU51" s="181"/>
      <c r="DV51" s="181"/>
      <c r="DW51" s="181"/>
      <c r="DX51" s="181"/>
      <c r="DY51" s="181"/>
      <c r="DZ51" s="181"/>
      <c r="EA51" s="181"/>
      <c r="EB51" s="181"/>
      <c r="EC51" s="181"/>
      <c r="ED51" s="181"/>
      <c r="EE51" s="181"/>
      <c r="EF51" s="181"/>
      <c r="EG51" s="181"/>
      <c r="EH51" s="181"/>
    </row>
    <row r="52" spans="2:138">
      <c r="B52" s="32" t="s">
        <v>421</v>
      </c>
      <c r="D52" s="21">
        <f ca="1">SUM(F52:DV52)</f>
        <v>136442784.82219931</v>
      </c>
      <c r="F52" s="7">
        <f ca="1">MIN(F51,ABS(F46))</f>
        <v>104048017</v>
      </c>
      <c r="G52" s="7">
        <f t="shared" ref="G52:AJ52" ca="1" si="10">MIN(G51,ABS(G46))</f>
        <v>0</v>
      </c>
      <c r="H52" s="7">
        <f t="shared" ca="1" si="10"/>
        <v>0</v>
      </c>
      <c r="I52" s="7">
        <f t="shared" ca="1" si="10"/>
        <v>0</v>
      </c>
      <c r="J52" s="7">
        <f t="shared" ca="1" si="10"/>
        <v>0</v>
      </c>
      <c r="K52" s="7">
        <f t="shared" ca="1" si="10"/>
        <v>32394767.822199315</v>
      </c>
      <c r="L52" s="7">
        <f t="shared" ca="1" si="10"/>
        <v>0</v>
      </c>
      <c r="M52" s="7">
        <f t="shared" ca="1" si="10"/>
        <v>0</v>
      </c>
      <c r="N52" s="7">
        <f t="shared" ca="1" si="10"/>
        <v>0</v>
      </c>
      <c r="O52" s="7">
        <f t="shared" ca="1" si="10"/>
        <v>0</v>
      </c>
      <c r="P52" s="7">
        <f t="shared" ca="1" si="10"/>
        <v>0</v>
      </c>
      <c r="Q52" s="7">
        <f t="shared" ca="1" si="10"/>
        <v>0</v>
      </c>
      <c r="R52" s="7">
        <f t="shared" ca="1" si="10"/>
        <v>0</v>
      </c>
      <c r="S52" s="7">
        <f t="shared" ca="1" si="10"/>
        <v>0</v>
      </c>
      <c r="T52" s="7">
        <f t="shared" ca="1" si="10"/>
        <v>0</v>
      </c>
      <c r="U52" s="7">
        <f t="shared" ca="1" si="10"/>
        <v>0</v>
      </c>
      <c r="V52" s="7">
        <f t="shared" ca="1" si="10"/>
        <v>0</v>
      </c>
      <c r="W52" s="7">
        <f t="shared" ca="1" si="10"/>
        <v>0</v>
      </c>
      <c r="X52" s="7">
        <f t="shared" ca="1" si="10"/>
        <v>0</v>
      </c>
      <c r="Y52" s="7">
        <f t="shared" ca="1" si="10"/>
        <v>0</v>
      </c>
      <c r="Z52" s="7">
        <f t="shared" ca="1" si="10"/>
        <v>0</v>
      </c>
      <c r="AA52" s="7">
        <f t="shared" ca="1" si="10"/>
        <v>0</v>
      </c>
      <c r="AB52" s="7">
        <f t="shared" ca="1" si="10"/>
        <v>0</v>
      </c>
      <c r="AC52" s="7">
        <f t="shared" ca="1" si="10"/>
        <v>0</v>
      </c>
      <c r="AD52" s="7">
        <f t="shared" ca="1" si="10"/>
        <v>0</v>
      </c>
      <c r="AE52" s="7">
        <f t="shared" ca="1" si="10"/>
        <v>0</v>
      </c>
      <c r="AF52" s="7">
        <f t="shared" ca="1" si="10"/>
        <v>0</v>
      </c>
      <c r="AG52" s="7">
        <f t="shared" ca="1" si="10"/>
        <v>0</v>
      </c>
      <c r="AH52" s="7">
        <f t="shared" ca="1" si="10"/>
        <v>0</v>
      </c>
      <c r="AI52" s="7">
        <f t="shared" ca="1" si="10"/>
        <v>0</v>
      </c>
      <c r="AJ52" s="7">
        <f t="shared" ca="1" si="10"/>
        <v>0</v>
      </c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  <c r="CY52" s="181"/>
      <c r="CZ52" s="181"/>
      <c r="DA52" s="181"/>
      <c r="DB52" s="181"/>
      <c r="DC52" s="181"/>
      <c r="DD52" s="181"/>
      <c r="DE52" s="181"/>
      <c r="DF52" s="181"/>
      <c r="DG52" s="181"/>
      <c r="DH52" s="181"/>
      <c r="DI52" s="181"/>
      <c r="DJ52" s="181"/>
      <c r="DK52" s="181"/>
      <c r="DL52" s="181"/>
      <c r="DM52" s="181"/>
      <c r="DN52" s="181"/>
      <c r="DO52" s="181"/>
      <c r="DP52" s="181"/>
      <c r="DQ52" s="181"/>
      <c r="DR52" s="181"/>
      <c r="DS52" s="181"/>
      <c r="DT52" s="181"/>
      <c r="DU52" s="181"/>
      <c r="DV52" s="181"/>
      <c r="DW52" s="181"/>
      <c r="DX52" s="181"/>
      <c r="DY52" s="181"/>
      <c r="DZ52" s="181"/>
      <c r="EA52" s="181"/>
      <c r="EB52" s="181"/>
      <c r="EC52" s="181"/>
      <c r="ED52" s="181"/>
      <c r="EE52" s="181"/>
      <c r="EF52" s="181"/>
      <c r="EG52" s="181"/>
      <c r="EH52" s="181"/>
    </row>
    <row r="53" spans="2:138">
      <c r="B53" s="32" t="s">
        <v>422</v>
      </c>
      <c r="D53" s="4"/>
      <c r="F53" s="7">
        <f ca="1">MAX(F51-F52,0)</f>
        <v>32394767.822199315</v>
      </c>
      <c r="G53" s="7">
        <f t="shared" ref="G53:AJ53" ca="1" si="11">MAX(G51-G52,0)</f>
        <v>32394767.822199315</v>
      </c>
      <c r="H53" s="7">
        <f t="shared" ca="1" si="11"/>
        <v>32394767.822199315</v>
      </c>
      <c r="I53" s="7">
        <f t="shared" ca="1" si="11"/>
        <v>32394767.822199315</v>
      </c>
      <c r="J53" s="7">
        <f t="shared" ca="1" si="11"/>
        <v>32394767.822199315</v>
      </c>
      <c r="K53" s="7">
        <f t="shared" ca="1" si="11"/>
        <v>0</v>
      </c>
      <c r="L53" s="7">
        <f t="shared" ca="1" si="11"/>
        <v>0</v>
      </c>
      <c r="M53" s="7">
        <f t="shared" ca="1" si="11"/>
        <v>0</v>
      </c>
      <c r="N53" s="7">
        <f t="shared" ca="1" si="11"/>
        <v>0</v>
      </c>
      <c r="O53" s="7">
        <f t="shared" ca="1" si="11"/>
        <v>0</v>
      </c>
      <c r="P53" s="7">
        <f t="shared" ca="1" si="11"/>
        <v>0</v>
      </c>
      <c r="Q53" s="7">
        <f t="shared" ca="1" si="11"/>
        <v>0</v>
      </c>
      <c r="R53" s="7">
        <f t="shared" ca="1" si="11"/>
        <v>0</v>
      </c>
      <c r="S53" s="7">
        <f t="shared" ca="1" si="11"/>
        <v>0</v>
      </c>
      <c r="T53" s="7">
        <f t="shared" ca="1" si="11"/>
        <v>0</v>
      </c>
      <c r="U53" s="7">
        <f t="shared" ca="1" si="11"/>
        <v>0</v>
      </c>
      <c r="V53" s="7">
        <f t="shared" ca="1" si="11"/>
        <v>0</v>
      </c>
      <c r="W53" s="7">
        <f t="shared" ca="1" si="11"/>
        <v>0</v>
      </c>
      <c r="X53" s="7">
        <f t="shared" ca="1" si="11"/>
        <v>0</v>
      </c>
      <c r="Y53" s="7">
        <f t="shared" ca="1" si="11"/>
        <v>0</v>
      </c>
      <c r="Z53" s="7">
        <f t="shared" ca="1" si="11"/>
        <v>0</v>
      </c>
      <c r="AA53" s="7">
        <f t="shared" ca="1" si="11"/>
        <v>0</v>
      </c>
      <c r="AB53" s="7">
        <f t="shared" ca="1" si="11"/>
        <v>0</v>
      </c>
      <c r="AC53" s="7">
        <f t="shared" ca="1" si="11"/>
        <v>0</v>
      </c>
      <c r="AD53" s="7">
        <f t="shared" ca="1" si="11"/>
        <v>0</v>
      </c>
      <c r="AE53" s="7">
        <f t="shared" ca="1" si="11"/>
        <v>0</v>
      </c>
      <c r="AF53" s="7">
        <f t="shared" ca="1" si="11"/>
        <v>0</v>
      </c>
      <c r="AG53" s="7">
        <f t="shared" ca="1" si="11"/>
        <v>0</v>
      </c>
      <c r="AH53" s="7">
        <f t="shared" ca="1" si="11"/>
        <v>0</v>
      </c>
      <c r="AI53" s="7">
        <f t="shared" ca="1" si="11"/>
        <v>0</v>
      </c>
      <c r="AJ53" s="7">
        <f t="shared" ca="1" si="11"/>
        <v>0</v>
      </c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1"/>
      <c r="DX53" s="181"/>
      <c r="DY53" s="181"/>
      <c r="DZ53" s="181"/>
      <c r="EA53" s="181"/>
      <c r="EB53" s="181"/>
      <c r="EC53" s="181"/>
      <c r="ED53" s="181"/>
      <c r="EE53" s="181"/>
      <c r="EF53" s="181"/>
      <c r="EG53" s="181"/>
      <c r="EH53" s="181"/>
    </row>
    <row r="54" spans="2:138">
      <c r="D54" s="4"/>
    </row>
    <row r="55" spans="2:138">
      <c r="B55" t="s">
        <v>423</v>
      </c>
      <c r="D55" s="4"/>
      <c r="F55" s="7">
        <f ca="1">F40-F22+F44+F52</f>
        <v>0</v>
      </c>
      <c r="G55" s="7">
        <f t="shared" ref="G55:AJ55" ca="1" si="12">G40-G22+G44+G52</f>
        <v>0</v>
      </c>
      <c r="H55" s="7">
        <f t="shared" ca="1" si="12"/>
        <v>0</v>
      </c>
      <c r="I55" s="7">
        <f t="shared" ca="1" si="12"/>
        <v>0</v>
      </c>
      <c r="J55" s="7">
        <f t="shared" ca="1" si="12"/>
        <v>0</v>
      </c>
      <c r="K55" s="7">
        <f t="shared" ca="1" si="12"/>
        <v>-81442068.345595703</v>
      </c>
      <c r="L55" s="7">
        <f t="shared" ca="1" si="12"/>
        <v>-113836836.16779502</v>
      </c>
      <c r="M55" s="7">
        <f t="shared" ca="1" si="12"/>
        <v>-113836836.16779502</v>
      </c>
      <c r="N55" s="7">
        <f t="shared" ca="1" si="12"/>
        <v>36999318.28005439</v>
      </c>
      <c r="O55" s="7">
        <f t="shared" ca="1" si="12"/>
        <v>38245352.785160691</v>
      </c>
      <c r="P55" s="7">
        <f t="shared" ca="1" si="12"/>
        <v>39524820.669084407</v>
      </c>
      <c r="Q55" s="7">
        <f t="shared" ca="1" si="12"/>
        <v>968956080.11634457</v>
      </c>
      <c r="R55" s="7">
        <f t="shared" ca="1" si="12"/>
        <v>42187162.92567195</v>
      </c>
      <c r="S55" s="7">
        <f t="shared" ca="1" si="12"/>
        <v>43571617.866573445</v>
      </c>
      <c r="T55" s="7">
        <f t="shared" ca="1" si="12"/>
        <v>44992666.699842706</v>
      </c>
      <c r="U55" s="7">
        <f t="shared" ca="1" si="12"/>
        <v>46451125.62660493</v>
      </c>
      <c r="V55" s="7">
        <f t="shared" ca="1" si="12"/>
        <v>47947820.502477266</v>
      </c>
      <c r="W55" s="7">
        <f t="shared" ca="1" si="12"/>
        <v>49483586.367171854</v>
      </c>
      <c r="X55" s="7">
        <f t="shared" ca="1" si="12"/>
        <v>51059266.921422519</v>
      </c>
      <c r="Y55" s="7">
        <f t="shared" ca="1" si="12"/>
        <v>52675713.947704107</v>
      </c>
      <c r="Z55" s="7">
        <f t="shared" ca="1" si="12"/>
        <v>54333786.671010345</v>
      </c>
      <c r="AA55" s="7">
        <f t="shared" ca="1" si="12"/>
        <v>56034351.055739254</v>
      </c>
      <c r="AB55" s="7">
        <f t="shared" ca="1" si="12"/>
        <v>57778279.034508973</v>
      </c>
      <c r="AC55" s="7">
        <f t="shared" ca="1" si="12"/>
        <v>59566447.664486259</v>
      </c>
      <c r="AD55" s="7">
        <f t="shared" ca="1" si="12"/>
        <v>61399738.206558734</v>
      </c>
      <c r="AE55" s="7">
        <f t="shared" ca="1" si="12"/>
        <v>63279035.122414634</v>
      </c>
      <c r="AF55" s="7">
        <f t="shared" ca="1" si="12"/>
        <v>65205224.984313898</v>
      </c>
      <c r="AG55" s="7">
        <f t="shared" ca="1" si="12"/>
        <v>67179195.292039007</v>
      </c>
      <c r="AH55" s="7">
        <f t="shared" ca="1" si="12"/>
        <v>69201833.191201836</v>
      </c>
      <c r="AI55" s="7">
        <f t="shared" ca="1" si="12"/>
        <v>71274024.086755648</v>
      </c>
      <c r="AJ55" s="7">
        <f t="shared" ca="1" si="12"/>
        <v>73396650.145214409</v>
      </c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  <c r="CE55" s="181"/>
      <c r="CF55" s="181"/>
      <c r="CG55" s="181"/>
      <c r="CH55" s="181"/>
      <c r="CI55" s="181"/>
      <c r="CJ55" s="181"/>
      <c r="CK55" s="181"/>
      <c r="CL55" s="181"/>
      <c r="CM55" s="181"/>
      <c r="CN55" s="181"/>
      <c r="CO55" s="181"/>
      <c r="CP55" s="181"/>
      <c r="CQ55" s="181"/>
      <c r="CR55" s="181"/>
      <c r="CS55" s="181"/>
      <c r="CT55" s="181"/>
      <c r="CU55" s="181"/>
      <c r="CV55" s="181"/>
      <c r="CW55" s="181"/>
      <c r="CX55" s="181"/>
      <c r="CY55" s="181"/>
      <c r="CZ55" s="181"/>
      <c r="DA55" s="181"/>
      <c r="DB55" s="181"/>
      <c r="DC55" s="181"/>
      <c r="DD55" s="181"/>
      <c r="DE55" s="181"/>
      <c r="DF55" s="181"/>
      <c r="DG55" s="181"/>
      <c r="DH55" s="181"/>
      <c r="DI55" s="181"/>
      <c r="DJ55" s="181"/>
      <c r="DK55" s="181"/>
      <c r="DL55" s="181"/>
      <c r="DM55" s="181"/>
      <c r="DN55" s="181"/>
      <c r="DO55" s="181"/>
      <c r="DP55" s="181"/>
      <c r="DQ55" s="181"/>
      <c r="DR55" s="181"/>
      <c r="DS55" s="181"/>
      <c r="DT55" s="181"/>
      <c r="DU55" s="181"/>
      <c r="DV55" s="181"/>
      <c r="DW55" s="181"/>
      <c r="DX55" s="181"/>
      <c r="DY55" s="181"/>
      <c r="DZ55" s="181"/>
      <c r="EA55" s="181"/>
      <c r="EB55" s="181"/>
      <c r="EC55" s="181"/>
      <c r="ED55" s="181"/>
      <c r="EE55" s="181"/>
      <c r="EF55" s="181"/>
      <c r="EG55" s="181"/>
      <c r="EH55" s="181"/>
    </row>
    <row r="56" spans="2:138">
      <c r="D56" s="4"/>
    </row>
    <row r="57" spans="2:138" ht="14.4">
      <c r="B57" s="10" t="s">
        <v>424</v>
      </c>
      <c r="D57" s="4"/>
    </row>
    <row r="58" spans="2:138">
      <c r="B58" t="s">
        <v>425</v>
      </c>
      <c r="D58" s="4"/>
      <c r="F58" s="179">
        <f>E63</f>
        <v>0</v>
      </c>
      <c r="G58" s="179">
        <f t="shared" ref="G58:AJ58" ca="1" si="13">F63</f>
        <v>0</v>
      </c>
      <c r="H58" s="179">
        <f t="shared" ca="1" si="13"/>
        <v>0</v>
      </c>
      <c r="I58" s="179">
        <f t="shared" ca="1" si="13"/>
        <v>0</v>
      </c>
      <c r="J58" s="179">
        <f t="shared" ca="1" si="13"/>
        <v>0</v>
      </c>
      <c r="K58" s="179">
        <f t="shared" ca="1" si="13"/>
        <v>0</v>
      </c>
      <c r="L58" s="179">
        <f t="shared" ca="1" si="13"/>
        <v>84974252.799944103</v>
      </c>
      <c r="M58" s="179">
        <f t="shared" ca="1" si="13"/>
        <v>203484672.87173602</v>
      </c>
      <c r="N58" s="179">
        <f t="shared" ca="1" si="13"/>
        <v>328513166.04747653</v>
      </c>
      <c r="O58" s="179">
        <f t="shared" ca="1" si="13"/>
        <v>346581390.18008775</v>
      </c>
      <c r="P58" s="179">
        <f t="shared" ca="1" si="13"/>
        <v>365643366.63999259</v>
      </c>
      <c r="Q58" s="179">
        <f t="shared" ca="1" si="13"/>
        <v>385753751.80519217</v>
      </c>
      <c r="R58" s="179">
        <f t="shared" ca="1" si="13"/>
        <v>0</v>
      </c>
      <c r="S58" s="179">
        <f t="shared" ca="1" si="13"/>
        <v>0</v>
      </c>
      <c r="T58" s="179">
        <f t="shared" ca="1" si="13"/>
        <v>0</v>
      </c>
      <c r="U58" s="179">
        <f t="shared" ca="1" si="13"/>
        <v>0</v>
      </c>
      <c r="V58" s="179">
        <f t="shared" ca="1" si="13"/>
        <v>0</v>
      </c>
      <c r="W58" s="179">
        <f t="shared" ca="1" si="13"/>
        <v>0</v>
      </c>
      <c r="X58" s="179">
        <f t="shared" ca="1" si="13"/>
        <v>0</v>
      </c>
      <c r="Y58" s="179">
        <f t="shared" ca="1" si="13"/>
        <v>0</v>
      </c>
      <c r="Z58" s="179">
        <f t="shared" ca="1" si="13"/>
        <v>0</v>
      </c>
      <c r="AA58" s="179">
        <f t="shared" ca="1" si="13"/>
        <v>0</v>
      </c>
      <c r="AB58" s="179">
        <f t="shared" ca="1" si="13"/>
        <v>0</v>
      </c>
      <c r="AC58" s="179">
        <f t="shared" ca="1" si="13"/>
        <v>0</v>
      </c>
      <c r="AD58" s="179">
        <f t="shared" ca="1" si="13"/>
        <v>0</v>
      </c>
      <c r="AE58" s="179">
        <f t="shared" ca="1" si="13"/>
        <v>0</v>
      </c>
      <c r="AF58" s="179">
        <f t="shared" ca="1" si="13"/>
        <v>0</v>
      </c>
      <c r="AG58" s="179">
        <f t="shared" ca="1" si="13"/>
        <v>0</v>
      </c>
      <c r="AH58" s="179">
        <f t="shared" ca="1" si="13"/>
        <v>0</v>
      </c>
      <c r="AI58" s="179">
        <f t="shared" ca="1" si="13"/>
        <v>0</v>
      </c>
      <c r="AJ58" s="179">
        <f t="shared" ca="1" si="13"/>
        <v>0</v>
      </c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  <c r="CA58" s="181"/>
      <c r="CB58" s="181"/>
      <c r="CC58" s="181"/>
      <c r="CD58" s="181"/>
      <c r="CE58" s="181"/>
      <c r="CF58" s="181"/>
      <c r="CG58" s="181"/>
      <c r="CH58" s="181"/>
      <c r="CI58" s="181"/>
      <c r="CJ58" s="181"/>
      <c r="CK58" s="181"/>
      <c r="CL58" s="181"/>
      <c r="CM58" s="181"/>
      <c r="CN58" s="181"/>
      <c r="CO58" s="181"/>
      <c r="CP58" s="181"/>
      <c r="CQ58" s="181"/>
      <c r="CR58" s="181"/>
      <c r="CS58" s="181"/>
      <c r="CT58" s="181"/>
      <c r="CU58" s="181"/>
      <c r="CV58" s="181"/>
      <c r="CW58" s="181"/>
      <c r="CX58" s="181"/>
      <c r="CY58" s="181"/>
      <c r="CZ58" s="181"/>
      <c r="DA58" s="181"/>
      <c r="DB58" s="181"/>
      <c r="DC58" s="181"/>
      <c r="DD58" s="181"/>
      <c r="DE58" s="181"/>
      <c r="DF58" s="181"/>
      <c r="DG58" s="181"/>
      <c r="DH58" s="181"/>
      <c r="DI58" s="181"/>
      <c r="DJ58" s="181"/>
      <c r="DK58" s="181"/>
      <c r="DL58" s="181"/>
      <c r="DM58" s="181"/>
      <c r="DN58" s="181"/>
      <c r="DO58" s="181"/>
      <c r="DP58" s="181"/>
      <c r="DQ58" s="181"/>
      <c r="DR58" s="181"/>
      <c r="DS58" s="181"/>
      <c r="DT58" s="181"/>
      <c r="DU58" s="181"/>
      <c r="DV58" s="181"/>
      <c r="DW58" s="181"/>
      <c r="DX58" s="181"/>
      <c r="DY58" s="181"/>
      <c r="DZ58" s="181"/>
      <c r="EA58" s="181"/>
      <c r="EB58" s="181"/>
      <c r="EC58" s="181"/>
      <c r="ED58" s="181"/>
      <c r="EE58" s="181"/>
      <c r="EF58" s="181"/>
      <c r="EG58" s="181"/>
      <c r="EH58" s="181"/>
    </row>
    <row r="59" spans="2:138">
      <c r="B59" t="s">
        <v>426</v>
      </c>
      <c r="D59" s="21">
        <f ca="1">SUM(F59:R59)</f>
        <v>3532184.4543484007</v>
      </c>
      <c r="F59" s="179">
        <f>IF(F13='Phase II - Summary'!$D$21,'Phase II - Summary'!$I$36*'Phase II - Summary'!$I$35,0)</f>
        <v>0</v>
      </c>
      <c r="G59" s="179">
        <f>IF(G13='Phase II - Summary'!$D$21,'Phase II - Summary'!$I$36*'Phase II - Summary'!$I$35,0)</f>
        <v>0</v>
      </c>
      <c r="H59" s="179">
        <f>IF(H13='Phase II - Summary'!$D$21,'Phase II - Summary'!$I$36*'Phase II - Summary'!$I$35,0)</f>
        <v>0</v>
      </c>
      <c r="I59" s="179">
        <f>IF(I13='Phase II - Summary'!$D$21,'Phase II - Summary'!$I$36*'Phase II - Summary'!$I$35,0)</f>
        <v>0</v>
      </c>
      <c r="J59" s="179">
        <f>IF(J13='Phase II - Summary'!$D$21,'Phase II - Summary'!$I$36*'Phase II - Summary'!$I$35,0)</f>
        <v>0</v>
      </c>
      <c r="K59" s="179">
        <f ca="1">IF(K13='Phase II - Summary'!$D$21,'Phase II - Summary'!$I$36*'Phase II - Summary'!$I$35,0)</f>
        <v>3532184.4543484007</v>
      </c>
      <c r="L59" s="179">
        <f>IF(L13='Phase II - Summary'!$D$21,'Phase II - Summary'!$I$36*'Phase II - Summary'!$I$35,0)</f>
        <v>0</v>
      </c>
      <c r="M59" s="179">
        <f>IF(M13='Phase II - Summary'!$D$21,'Phase II - Summary'!$I$36*'Phase II - Summary'!$I$35,0)</f>
        <v>0</v>
      </c>
      <c r="N59" s="179">
        <f>IF(N13='Phase II - Summary'!$D$21,'Phase II - Summary'!$I$36*'Phase II - Summary'!$I$35,0)</f>
        <v>0</v>
      </c>
      <c r="O59" s="179">
        <f>IF(O13='Phase II - Summary'!$D$21,'Phase II - Summary'!$I$36*'Phase II - Summary'!$I$35,0)</f>
        <v>0</v>
      </c>
      <c r="P59" s="179">
        <f>IF(P13='Phase II - Summary'!$D$21,'Phase II - Summary'!$I$36*'Phase II - Summary'!$I$35,0)</f>
        <v>0</v>
      </c>
      <c r="Q59" s="179">
        <f>IF(Q13='Phase II - Summary'!$D$21,'Phase II - Summary'!$I$36*'Phase II - Summary'!$I$35,0)</f>
        <v>0</v>
      </c>
      <c r="R59" s="179">
        <f>IF(R13='Phase II - Summary'!$D$21,'Phase II - Summary'!$I$36*'Phase II - Summary'!$I$35,0)</f>
        <v>0</v>
      </c>
      <c r="S59" s="179">
        <f>IF(S13='Phase II - Summary'!$D$21,'Phase II - Summary'!$I$36*'Phase II - Summary'!$I$35,0)</f>
        <v>0</v>
      </c>
      <c r="T59" s="179">
        <f>IF(T13='Phase II - Summary'!$D$21,'Phase II - Summary'!$I$36*'Phase II - Summary'!$I$35,0)</f>
        <v>0</v>
      </c>
      <c r="U59" s="179">
        <f>IF(U13='Phase II - Summary'!$D$21,'Phase II - Summary'!$I$36*'Phase II - Summary'!$I$35,0)</f>
        <v>0</v>
      </c>
      <c r="V59" s="179">
        <f>IF(V13='Phase II - Summary'!$D$21,'Phase II - Summary'!$I$36*'Phase II - Summary'!$I$35,0)</f>
        <v>0</v>
      </c>
      <c r="W59" s="179">
        <f>IF(W13='Phase II - Summary'!$D$21,'Phase II - Summary'!$I$36*'Phase II - Summary'!$I$35,0)</f>
        <v>0</v>
      </c>
      <c r="X59" s="179">
        <f>IF(X13='Phase II - Summary'!$D$21,'Phase II - Summary'!$I$36*'Phase II - Summary'!$I$35,0)</f>
        <v>0</v>
      </c>
      <c r="Y59" s="179">
        <f>IF(Y13='Phase II - Summary'!$D$21,'Phase II - Summary'!$I$36*'Phase II - Summary'!$I$35,0)</f>
        <v>0</v>
      </c>
      <c r="Z59" s="179">
        <f>IF(Z13='Phase II - Summary'!$D$21,'Phase II - Summary'!$I$36*'Phase II - Summary'!$I$35,0)</f>
        <v>0</v>
      </c>
      <c r="AA59" s="179">
        <f>IF(AA13='Phase II - Summary'!$D$21,'Phase II - Summary'!$I$36*'Phase II - Summary'!$I$35,0)</f>
        <v>0</v>
      </c>
      <c r="AB59" s="179">
        <f>IF(AB13='Phase II - Summary'!$D$21,'Phase II - Summary'!$I$36*'Phase II - Summary'!$I$35,0)</f>
        <v>0</v>
      </c>
      <c r="AC59" s="179">
        <f>IF(AC13='Phase II - Summary'!$D$21,'Phase II - Summary'!$I$36*'Phase II - Summary'!$I$35,0)</f>
        <v>0</v>
      </c>
      <c r="AD59" s="179">
        <f>IF(AD13='Phase II - Summary'!$D$21,'Phase II - Summary'!$I$36*'Phase II - Summary'!$I$35,0)</f>
        <v>0</v>
      </c>
      <c r="AE59" s="179">
        <f>IF(AE13='Phase II - Summary'!$D$21,'Phase II - Summary'!$I$36*'Phase II - Summary'!$I$35,0)</f>
        <v>0</v>
      </c>
      <c r="AF59" s="179">
        <f>IF(AF13='Phase II - Summary'!$D$21,'Phase II - Summary'!$I$36*'Phase II - Summary'!$I$35,0)</f>
        <v>0</v>
      </c>
      <c r="AG59" s="179">
        <f>IF(AG13='Phase II - Summary'!$D$21,'Phase II - Summary'!$I$36*'Phase II - Summary'!$I$35,0)</f>
        <v>0</v>
      </c>
      <c r="AH59" s="179">
        <f>IF(AH13='Phase II - Summary'!$D$21,'Phase II - Summary'!$I$36*'Phase II - Summary'!$I$35,0)</f>
        <v>0</v>
      </c>
      <c r="AI59" s="179">
        <f>IF(AI13='Phase II - Summary'!$D$21,'Phase II - Summary'!$I$36*'Phase II - Summary'!$I$35,0)</f>
        <v>0</v>
      </c>
      <c r="AJ59" s="179">
        <f>IF(AJ13='Phase II - Summary'!$D$21,'Phase II - Summary'!$I$36*'Phase II - Summary'!$I$35,0)</f>
        <v>0</v>
      </c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  <c r="CY59" s="181"/>
      <c r="CZ59" s="181"/>
      <c r="DA59" s="181"/>
      <c r="DB59" s="181"/>
      <c r="DC59" s="181"/>
      <c r="DD59" s="181"/>
      <c r="DE59" s="181"/>
      <c r="DF59" s="181"/>
      <c r="DG59" s="181"/>
      <c r="DH59" s="181"/>
      <c r="DI59" s="181"/>
      <c r="DJ59" s="181"/>
      <c r="DK59" s="181"/>
      <c r="DL59" s="181"/>
      <c r="DM59" s="181"/>
      <c r="DN59" s="181"/>
      <c r="DO59" s="181"/>
      <c r="DP59" s="181"/>
      <c r="DQ59" s="181"/>
      <c r="DR59" s="181"/>
      <c r="DS59" s="181"/>
      <c r="DT59" s="181"/>
      <c r="DU59" s="181"/>
      <c r="DV59" s="181"/>
      <c r="DW59" s="181"/>
      <c r="DX59" s="181"/>
      <c r="DY59" s="181"/>
      <c r="DZ59" s="181"/>
      <c r="EA59" s="181"/>
      <c r="EB59" s="181"/>
      <c r="EC59" s="181"/>
      <c r="ED59" s="181"/>
      <c r="EE59" s="181"/>
      <c r="EF59" s="181"/>
      <c r="EG59" s="181"/>
      <c r="EH59" s="181"/>
    </row>
    <row r="60" spans="2:138">
      <c r="B60" t="s">
        <v>427</v>
      </c>
      <c r="D60" s="21">
        <f t="shared" ref="D60:D61" ca="1" si="14">SUM(F60:R60)</f>
        <v>309115740.68118572</v>
      </c>
      <c r="F60" s="179">
        <f ca="1">MAX(-F55,0)</f>
        <v>0</v>
      </c>
      <c r="G60" s="179">
        <f t="shared" ref="G60:AJ60" ca="1" si="15">MAX(-G55,0)</f>
        <v>0</v>
      </c>
      <c r="H60" s="179">
        <f t="shared" ca="1" si="15"/>
        <v>0</v>
      </c>
      <c r="I60" s="179">
        <f t="shared" ca="1" si="15"/>
        <v>0</v>
      </c>
      <c r="J60" s="179">
        <f t="shared" ca="1" si="15"/>
        <v>0</v>
      </c>
      <c r="K60" s="179">
        <f t="shared" ca="1" si="15"/>
        <v>81442068.345595703</v>
      </c>
      <c r="L60" s="179">
        <f t="shared" ca="1" si="15"/>
        <v>113836836.16779502</v>
      </c>
      <c r="M60" s="179">
        <f t="shared" ca="1" si="15"/>
        <v>113836836.16779502</v>
      </c>
      <c r="N60" s="179">
        <f t="shared" ca="1" si="15"/>
        <v>0</v>
      </c>
      <c r="O60" s="179">
        <f t="shared" ca="1" si="15"/>
        <v>0</v>
      </c>
      <c r="P60" s="179">
        <f t="shared" ca="1" si="15"/>
        <v>0</v>
      </c>
      <c r="Q60" s="179">
        <f t="shared" ca="1" si="15"/>
        <v>0</v>
      </c>
      <c r="R60" s="179">
        <f t="shared" ca="1" si="15"/>
        <v>0</v>
      </c>
      <c r="S60" s="179">
        <f t="shared" ca="1" si="15"/>
        <v>0</v>
      </c>
      <c r="T60" s="179">
        <f t="shared" ca="1" si="15"/>
        <v>0</v>
      </c>
      <c r="U60" s="179">
        <f t="shared" ca="1" si="15"/>
        <v>0</v>
      </c>
      <c r="V60" s="179">
        <f t="shared" ca="1" si="15"/>
        <v>0</v>
      </c>
      <c r="W60" s="179">
        <f t="shared" ca="1" si="15"/>
        <v>0</v>
      </c>
      <c r="X60" s="179">
        <f t="shared" ca="1" si="15"/>
        <v>0</v>
      </c>
      <c r="Y60" s="179">
        <f t="shared" ca="1" si="15"/>
        <v>0</v>
      </c>
      <c r="Z60" s="179">
        <f t="shared" ca="1" si="15"/>
        <v>0</v>
      </c>
      <c r="AA60" s="179">
        <f t="shared" ca="1" si="15"/>
        <v>0</v>
      </c>
      <c r="AB60" s="179">
        <f t="shared" ca="1" si="15"/>
        <v>0</v>
      </c>
      <c r="AC60" s="179">
        <f t="shared" ca="1" si="15"/>
        <v>0</v>
      </c>
      <c r="AD60" s="179">
        <f t="shared" ca="1" si="15"/>
        <v>0</v>
      </c>
      <c r="AE60" s="179">
        <f t="shared" ca="1" si="15"/>
        <v>0</v>
      </c>
      <c r="AF60" s="179">
        <f t="shared" ca="1" si="15"/>
        <v>0</v>
      </c>
      <c r="AG60" s="179">
        <f t="shared" ca="1" si="15"/>
        <v>0</v>
      </c>
      <c r="AH60" s="179">
        <f t="shared" ca="1" si="15"/>
        <v>0</v>
      </c>
      <c r="AI60" s="179">
        <f t="shared" ca="1" si="15"/>
        <v>0</v>
      </c>
      <c r="AJ60" s="179">
        <f t="shared" ca="1" si="15"/>
        <v>0</v>
      </c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1"/>
      <c r="DX60" s="181"/>
      <c r="DY60" s="181"/>
      <c r="DZ60" s="181"/>
      <c r="EA60" s="181"/>
      <c r="EB60" s="181"/>
      <c r="EC60" s="181"/>
      <c r="ED60" s="181"/>
      <c r="EE60" s="181"/>
      <c r="EF60" s="181"/>
      <c r="EG60" s="181"/>
      <c r="EH60" s="181"/>
    </row>
    <row r="61" spans="2:138">
      <c r="B61" t="s">
        <v>428</v>
      </c>
      <c r="D61" s="21">
        <f t="shared" ca="1" si="14"/>
        <v>94322283.018943623</v>
      </c>
      <c r="F61" s="179">
        <f>F58*'Phase II - Summary'!$I$33</f>
        <v>0</v>
      </c>
      <c r="G61" s="179">
        <f ca="1">G58*'Phase II - Summary'!$I$33</f>
        <v>0</v>
      </c>
      <c r="H61" s="179">
        <f ca="1">H58*'Phase II - Summary'!$I$33</f>
        <v>0</v>
      </c>
      <c r="I61" s="179">
        <f ca="1">I58*'Phase II - Summary'!$I$33</f>
        <v>0</v>
      </c>
      <c r="J61" s="179">
        <f ca="1">J58*'Phase II - Summary'!$I$33</f>
        <v>0</v>
      </c>
      <c r="K61" s="179">
        <f ca="1">K58*'Phase II - Summary'!$I$33</f>
        <v>0</v>
      </c>
      <c r="L61" s="179">
        <f ca="1">L58*'Phase II - Summary'!$I$33</f>
        <v>4673583.9039969258</v>
      </c>
      <c r="M61" s="179">
        <f ca="1">M58*'Phase II - Summary'!$I$33</f>
        <v>11191657.007945482</v>
      </c>
      <c r="N61" s="179">
        <f ca="1">N58*'Phase II - Summary'!$I$33</f>
        <v>18068224.132611211</v>
      </c>
      <c r="O61" s="179">
        <f ca="1">O58*'Phase II - Summary'!$I$33</f>
        <v>19061976.459904827</v>
      </c>
      <c r="P61" s="179">
        <f ca="1">P58*'Phase II - Summary'!$I$33</f>
        <v>20110385.165199596</v>
      </c>
      <c r="Q61" s="179">
        <f ca="1">Q58*'Phase II - Summary'!$I$33</f>
        <v>21216456.349285573</v>
      </c>
      <c r="R61" s="179">
        <f ca="1">R58*'Phase II - Summary'!$I$33</f>
        <v>0</v>
      </c>
      <c r="S61" s="179">
        <f ca="1">S58*'Phase II - Summary'!$I$33</f>
        <v>0</v>
      </c>
      <c r="T61" s="179">
        <f ca="1">T58*'Phase II - Summary'!$I$33</f>
        <v>0</v>
      </c>
      <c r="U61" s="179">
        <f ca="1">U58*'Phase II - Summary'!$I$33</f>
        <v>0</v>
      </c>
      <c r="V61" s="179">
        <f ca="1">V58*'Phase II - Summary'!$I$33</f>
        <v>0</v>
      </c>
      <c r="W61" s="179">
        <f ca="1">W58*'Phase II - Summary'!$I$33</f>
        <v>0</v>
      </c>
      <c r="X61" s="179">
        <f ca="1">X58*'Phase II - Summary'!$I$33</f>
        <v>0</v>
      </c>
      <c r="Y61" s="179">
        <f ca="1">Y58*'Phase II - Summary'!$I$33</f>
        <v>0</v>
      </c>
      <c r="Z61" s="179">
        <f ca="1">Z58*'Phase II - Summary'!$I$33</f>
        <v>0</v>
      </c>
      <c r="AA61" s="179">
        <f ca="1">AA58*'Phase II - Summary'!$I$33</f>
        <v>0</v>
      </c>
      <c r="AB61" s="179">
        <f ca="1">AB58*'Phase II - Summary'!$I$33</f>
        <v>0</v>
      </c>
      <c r="AC61" s="179">
        <f ca="1">AC58*'Phase II - Summary'!$I$33</f>
        <v>0</v>
      </c>
      <c r="AD61" s="179">
        <f ca="1">AD58*'Phase II - Summary'!$I$33</f>
        <v>0</v>
      </c>
      <c r="AE61" s="179">
        <f ca="1">AE58*'Phase II - Summary'!$I$33</f>
        <v>0</v>
      </c>
      <c r="AF61" s="179">
        <f ca="1">AF58*'Phase II - Summary'!$I$33</f>
        <v>0</v>
      </c>
      <c r="AG61" s="179">
        <f ca="1">AG58*'Phase II - Summary'!$I$33</f>
        <v>0</v>
      </c>
      <c r="AH61" s="179">
        <f ca="1">AH58*'Phase II - Summary'!$I$33</f>
        <v>0</v>
      </c>
      <c r="AI61" s="179">
        <f ca="1">AI58*'Phase II - Summary'!$I$33</f>
        <v>0</v>
      </c>
      <c r="AJ61" s="179">
        <f ca="1">AJ58*'Phase II - Summary'!$I$33</f>
        <v>0</v>
      </c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  <c r="CY61" s="181"/>
      <c r="CZ61" s="181"/>
      <c r="DA61" s="181"/>
      <c r="DB61" s="181"/>
      <c r="DC61" s="181"/>
      <c r="DD61" s="181"/>
      <c r="DE61" s="181"/>
      <c r="DF61" s="181"/>
      <c r="DG61" s="181"/>
      <c r="DH61" s="181"/>
      <c r="DI61" s="181"/>
      <c r="DJ61" s="181"/>
      <c r="DK61" s="181"/>
      <c r="DL61" s="181"/>
      <c r="DM61" s="181"/>
      <c r="DN61" s="181"/>
      <c r="DO61" s="181"/>
      <c r="DP61" s="181"/>
      <c r="DQ61" s="181"/>
      <c r="DR61" s="181"/>
      <c r="DS61" s="181"/>
      <c r="DT61" s="181"/>
      <c r="DU61" s="181"/>
      <c r="DV61" s="181"/>
      <c r="DW61" s="181"/>
      <c r="DX61" s="181"/>
      <c r="DY61" s="181"/>
      <c r="DZ61" s="181"/>
      <c r="EA61" s="181"/>
      <c r="EB61" s="181"/>
      <c r="EC61" s="181"/>
      <c r="ED61" s="181"/>
      <c r="EE61" s="181"/>
      <c r="EF61" s="181"/>
      <c r="EG61" s="181"/>
      <c r="EH61" s="181"/>
    </row>
    <row r="62" spans="2:138">
      <c r="B62" t="s">
        <v>429</v>
      </c>
      <c r="D62" s="4"/>
      <c r="F62" s="179">
        <f>IF(F13='Phase II - Summary'!$D$27,'Phase II - Pro Forma'!F61+'Phase II - Pro Forma'!F58,0)</f>
        <v>0</v>
      </c>
      <c r="G62" s="179">
        <f>IF(G13='Phase II - Summary'!$D$27,'Phase II - Pro Forma'!G61+'Phase II - Pro Forma'!G58,0)</f>
        <v>0</v>
      </c>
      <c r="H62" s="179">
        <f>IF(H13='Phase II - Summary'!$D$27,'Phase II - Pro Forma'!H61+'Phase II - Pro Forma'!H58,0)</f>
        <v>0</v>
      </c>
      <c r="I62" s="179">
        <f>IF(I13='Phase II - Summary'!$D$27,'Phase II - Pro Forma'!I61+'Phase II - Pro Forma'!I58,0)</f>
        <v>0</v>
      </c>
      <c r="J62" s="179">
        <f>IF(J13='Phase II - Summary'!$D$27,'Phase II - Pro Forma'!J61+'Phase II - Pro Forma'!J58,0)</f>
        <v>0</v>
      </c>
      <c r="K62" s="179">
        <f>IF(K13='Phase II - Summary'!$D$27,'Phase II - Pro Forma'!K61+'Phase II - Pro Forma'!K58,0)</f>
        <v>0</v>
      </c>
      <c r="L62" s="179">
        <f>IF(L13='Phase II - Summary'!$D$27,'Phase II - Pro Forma'!L61+'Phase II - Pro Forma'!L58,0)</f>
        <v>0</v>
      </c>
      <c r="M62" s="179">
        <f>IF(M13='Phase II - Summary'!$D$27,'Phase II - Pro Forma'!M61+'Phase II - Pro Forma'!M58,0)</f>
        <v>0</v>
      </c>
      <c r="N62" s="179">
        <f>IF(N13='Phase II - Summary'!$D$27,'Phase II - Pro Forma'!N61+'Phase II - Pro Forma'!N58,0)</f>
        <v>0</v>
      </c>
      <c r="O62" s="179">
        <f>IF(O13='Phase II - Summary'!$D$27,'Phase II - Pro Forma'!O61+'Phase II - Pro Forma'!O58,0)</f>
        <v>0</v>
      </c>
      <c r="P62" s="179">
        <f>IF(P13='Phase II - Summary'!$D$27,'Phase II - Pro Forma'!P61+'Phase II - Pro Forma'!P58,0)</f>
        <v>0</v>
      </c>
      <c r="Q62" s="179">
        <f ca="1">IF(Q13='Phase II - Summary'!$D$27,'Phase II - Pro Forma'!Q61+'Phase II - Pro Forma'!Q58,0)</f>
        <v>406970208.15447772</v>
      </c>
      <c r="R62" s="179">
        <f>IF(R13='Phase II - Summary'!$D$27,'Phase II - Pro Forma'!R61+'Phase II - Pro Forma'!R58,0)</f>
        <v>0</v>
      </c>
      <c r="S62" s="179">
        <f>IF(S13='Phase II - Summary'!$D$27,'Phase II - Pro Forma'!S61+'Phase II - Pro Forma'!S58,0)</f>
        <v>0</v>
      </c>
      <c r="T62" s="179">
        <f>IF(T13='Phase II - Summary'!$D$27,'Phase II - Pro Forma'!T61+'Phase II - Pro Forma'!T58,0)</f>
        <v>0</v>
      </c>
      <c r="U62" s="179">
        <f>IF(U13='Phase II - Summary'!$D$27,'Phase II - Pro Forma'!U61+'Phase II - Pro Forma'!U58,0)</f>
        <v>0</v>
      </c>
      <c r="V62" s="179">
        <f>IF(V13='Phase II - Summary'!$D$27,'Phase II - Pro Forma'!V61+'Phase II - Pro Forma'!V58,0)</f>
        <v>0</v>
      </c>
      <c r="W62" s="179">
        <f>IF(W13='Phase II - Summary'!$D$27,'Phase II - Pro Forma'!W61+'Phase II - Pro Forma'!W58,0)</f>
        <v>0</v>
      </c>
      <c r="X62" s="179">
        <f>IF(X13='Phase II - Summary'!$D$27,'Phase II - Pro Forma'!X61+'Phase II - Pro Forma'!X58,0)</f>
        <v>0</v>
      </c>
      <c r="Y62" s="179">
        <f>IF(Y13='Phase II - Summary'!$D$27,'Phase II - Pro Forma'!Y61+'Phase II - Pro Forma'!Y58,0)</f>
        <v>0</v>
      </c>
      <c r="Z62" s="179">
        <f>IF(Z13='Phase II - Summary'!$D$27,'Phase II - Pro Forma'!Z61+'Phase II - Pro Forma'!Z58,0)</f>
        <v>0</v>
      </c>
      <c r="AA62" s="179">
        <f>IF(AA13='Phase II - Summary'!$D$27,'Phase II - Pro Forma'!AA61+'Phase II - Pro Forma'!AA58,0)</f>
        <v>0</v>
      </c>
      <c r="AB62" s="179">
        <f>IF(AB13='Phase II - Summary'!$D$27,'Phase II - Pro Forma'!AB61+'Phase II - Pro Forma'!AB58,0)</f>
        <v>0</v>
      </c>
      <c r="AC62" s="179">
        <f>IF(AC13='Phase II - Summary'!$D$27,'Phase II - Pro Forma'!AC61+'Phase II - Pro Forma'!AC58,0)</f>
        <v>0</v>
      </c>
      <c r="AD62" s="179">
        <f>IF(AD13='Phase II - Summary'!$D$27,'Phase II - Pro Forma'!AD61+'Phase II - Pro Forma'!AD58,0)</f>
        <v>0</v>
      </c>
      <c r="AE62" s="179">
        <f>IF(AE13='Phase II - Summary'!$D$27,'Phase II - Pro Forma'!AE61+'Phase II - Pro Forma'!AE58,0)</f>
        <v>0</v>
      </c>
      <c r="AF62" s="179">
        <f>IF(AF13='Phase II - Summary'!$D$27,'Phase II - Pro Forma'!AF61+'Phase II - Pro Forma'!AF58,0)</f>
        <v>0</v>
      </c>
      <c r="AG62" s="179">
        <f>IF(AG13='Phase II - Summary'!$D$27,'Phase II - Pro Forma'!AG61+'Phase II - Pro Forma'!AG58,0)</f>
        <v>0</v>
      </c>
      <c r="AH62" s="179">
        <f>IF(AH13='Phase II - Summary'!$D$27,'Phase II - Pro Forma'!AH61+'Phase II - Pro Forma'!AH58,0)</f>
        <v>0</v>
      </c>
      <c r="AI62" s="179">
        <f>IF(AI13='Phase II - Summary'!$D$27,'Phase II - Pro Forma'!AI61+'Phase II - Pro Forma'!AI58,0)</f>
        <v>0</v>
      </c>
      <c r="AJ62" s="179">
        <f>IF(AJ13='Phase II - Summary'!$D$27,'Phase II - Pro Forma'!AJ61+'Phase II - Pro Forma'!AJ58,0)</f>
        <v>0</v>
      </c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  <c r="CY62" s="181"/>
      <c r="CZ62" s="181"/>
      <c r="DA62" s="181"/>
      <c r="DB62" s="181"/>
      <c r="DC62" s="181"/>
      <c r="DD62" s="181"/>
      <c r="DE62" s="181"/>
      <c r="DF62" s="181"/>
      <c r="DG62" s="181"/>
      <c r="DH62" s="181"/>
      <c r="DI62" s="181"/>
      <c r="DJ62" s="181"/>
      <c r="DK62" s="181"/>
      <c r="DL62" s="181"/>
      <c r="DM62" s="181"/>
      <c r="DN62" s="181"/>
      <c r="DO62" s="181"/>
      <c r="DP62" s="181"/>
      <c r="DQ62" s="181"/>
      <c r="DR62" s="181"/>
      <c r="DS62" s="181"/>
      <c r="DT62" s="181"/>
      <c r="DU62" s="181"/>
      <c r="DV62" s="181"/>
      <c r="DW62" s="181"/>
      <c r="DX62" s="181"/>
      <c r="DY62" s="181"/>
      <c r="DZ62" s="181"/>
      <c r="EA62" s="181"/>
      <c r="EB62" s="181"/>
      <c r="EC62" s="181"/>
      <c r="ED62" s="181"/>
      <c r="EE62" s="181"/>
      <c r="EF62" s="181"/>
      <c r="EG62" s="181"/>
      <c r="EH62" s="181"/>
    </row>
    <row r="63" spans="2:138">
      <c r="B63" t="s">
        <v>430</v>
      </c>
      <c r="D63" s="4"/>
      <c r="F63" s="179">
        <f ca="1">F58+F59+F60+F61-F62</f>
        <v>0</v>
      </c>
      <c r="G63" s="179">
        <f t="shared" ref="G63:AJ63" ca="1" si="16">G58+G59+G60+G61-G62</f>
        <v>0</v>
      </c>
      <c r="H63" s="179">
        <f t="shared" ca="1" si="16"/>
        <v>0</v>
      </c>
      <c r="I63" s="179">
        <f t="shared" ca="1" si="16"/>
        <v>0</v>
      </c>
      <c r="J63" s="179">
        <f t="shared" ca="1" si="16"/>
        <v>0</v>
      </c>
      <c r="K63" s="179">
        <f t="shared" ca="1" si="16"/>
        <v>84974252.799944103</v>
      </c>
      <c r="L63" s="179">
        <f t="shared" ca="1" si="16"/>
        <v>203484672.87173602</v>
      </c>
      <c r="M63" s="179">
        <f t="shared" ca="1" si="16"/>
        <v>328513166.04747653</v>
      </c>
      <c r="N63" s="179">
        <f t="shared" ca="1" si="16"/>
        <v>346581390.18008775</v>
      </c>
      <c r="O63" s="179">
        <f t="shared" ca="1" si="16"/>
        <v>365643366.63999259</v>
      </c>
      <c r="P63" s="179">
        <f t="shared" ca="1" si="16"/>
        <v>385753751.80519217</v>
      </c>
      <c r="Q63" s="179">
        <f t="shared" ca="1" si="16"/>
        <v>0</v>
      </c>
      <c r="R63" s="179">
        <f t="shared" ca="1" si="16"/>
        <v>0</v>
      </c>
      <c r="S63" s="179">
        <f t="shared" ca="1" si="16"/>
        <v>0</v>
      </c>
      <c r="T63" s="179">
        <f t="shared" ca="1" si="16"/>
        <v>0</v>
      </c>
      <c r="U63" s="179">
        <f t="shared" ca="1" si="16"/>
        <v>0</v>
      </c>
      <c r="V63" s="179">
        <f t="shared" ca="1" si="16"/>
        <v>0</v>
      </c>
      <c r="W63" s="179">
        <f t="shared" ca="1" si="16"/>
        <v>0</v>
      </c>
      <c r="X63" s="179">
        <f t="shared" ca="1" si="16"/>
        <v>0</v>
      </c>
      <c r="Y63" s="179">
        <f t="shared" ca="1" si="16"/>
        <v>0</v>
      </c>
      <c r="Z63" s="179">
        <f t="shared" ca="1" si="16"/>
        <v>0</v>
      </c>
      <c r="AA63" s="179">
        <f t="shared" ca="1" si="16"/>
        <v>0</v>
      </c>
      <c r="AB63" s="179">
        <f t="shared" ca="1" si="16"/>
        <v>0</v>
      </c>
      <c r="AC63" s="179">
        <f t="shared" ca="1" si="16"/>
        <v>0</v>
      </c>
      <c r="AD63" s="179">
        <f t="shared" ca="1" si="16"/>
        <v>0</v>
      </c>
      <c r="AE63" s="179">
        <f t="shared" ca="1" si="16"/>
        <v>0</v>
      </c>
      <c r="AF63" s="179">
        <f t="shared" ca="1" si="16"/>
        <v>0</v>
      </c>
      <c r="AG63" s="179">
        <f t="shared" ca="1" si="16"/>
        <v>0</v>
      </c>
      <c r="AH63" s="179">
        <f t="shared" ca="1" si="16"/>
        <v>0</v>
      </c>
      <c r="AI63" s="179">
        <f t="shared" ca="1" si="16"/>
        <v>0</v>
      </c>
      <c r="AJ63" s="179">
        <f t="shared" ca="1" si="16"/>
        <v>0</v>
      </c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1"/>
      <c r="DX63" s="181"/>
      <c r="DY63" s="181"/>
      <c r="DZ63" s="181"/>
      <c r="EA63" s="181"/>
      <c r="EB63" s="181"/>
      <c r="EC63" s="181"/>
      <c r="ED63" s="181"/>
      <c r="EE63" s="181"/>
      <c r="EF63" s="181"/>
      <c r="EG63" s="181"/>
      <c r="EH63" s="181"/>
    </row>
    <row r="64" spans="2:138">
      <c r="D64" s="4"/>
    </row>
    <row r="65" spans="2:138">
      <c r="B65" t="s">
        <v>431</v>
      </c>
      <c r="D65" s="4"/>
      <c r="F65" s="7">
        <f ca="1">F55+F60-F62</f>
        <v>0</v>
      </c>
      <c r="G65" s="7">
        <f t="shared" ref="G65:AJ65" ca="1" si="17">G55+G60-G62</f>
        <v>0</v>
      </c>
      <c r="H65" s="7">
        <f t="shared" ca="1" si="17"/>
        <v>0</v>
      </c>
      <c r="I65" s="7">
        <f t="shared" ca="1" si="17"/>
        <v>0</v>
      </c>
      <c r="J65" s="7">
        <f t="shared" ca="1" si="17"/>
        <v>0</v>
      </c>
      <c r="K65" s="7">
        <f t="shared" ca="1" si="17"/>
        <v>0</v>
      </c>
      <c r="L65" s="7">
        <f t="shared" ca="1" si="17"/>
        <v>0</v>
      </c>
      <c r="M65" s="7">
        <f t="shared" ca="1" si="17"/>
        <v>0</v>
      </c>
      <c r="N65" s="7">
        <f t="shared" ca="1" si="17"/>
        <v>36999318.28005439</v>
      </c>
      <c r="O65" s="7">
        <f t="shared" ca="1" si="17"/>
        <v>38245352.785160691</v>
      </c>
      <c r="P65" s="7">
        <f t="shared" ca="1" si="17"/>
        <v>39524820.669084407</v>
      </c>
      <c r="Q65" s="7">
        <f t="shared" ca="1" si="17"/>
        <v>561985871.96186686</v>
      </c>
      <c r="R65" s="7">
        <f t="shared" ca="1" si="17"/>
        <v>42187162.92567195</v>
      </c>
      <c r="S65" s="7">
        <f t="shared" ca="1" si="17"/>
        <v>43571617.866573445</v>
      </c>
      <c r="T65" s="7">
        <f t="shared" ca="1" si="17"/>
        <v>44992666.699842706</v>
      </c>
      <c r="U65" s="7">
        <f t="shared" ca="1" si="17"/>
        <v>46451125.62660493</v>
      </c>
      <c r="V65" s="7">
        <f t="shared" ca="1" si="17"/>
        <v>47947820.502477266</v>
      </c>
      <c r="W65" s="7">
        <f t="shared" ca="1" si="17"/>
        <v>49483586.367171854</v>
      </c>
      <c r="X65" s="7">
        <f t="shared" ca="1" si="17"/>
        <v>51059266.921422519</v>
      </c>
      <c r="Y65" s="7">
        <f t="shared" ca="1" si="17"/>
        <v>52675713.947704107</v>
      </c>
      <c r="Z65" s="7">
        <f t="shared" ca="1" si="17"/>
        <v>54333786.671010345</v>
      </c>
      <c r="AA65" s="7">
        <f t="shared" ca="1" si="17"/>
        <v>56034351.055739254</v>
      </c>
      <c r="AB65" s="7">
        <f t="shared" ca="1" si="17"/>
        <v>57778279.034508973</v>
      </c>
      <c r="AC65" s="7">
        <f t="shared" ca="1" si="17"/>
        <v>59566447.664486259</v>
      </c>
      <c r="AD65" s="7">
        <f t="shared" ca="1" si="17"/>
        <v>61399738.206558734</v>
      </c>
      <c r="AE65" s="7">
        <f t="shared" ca="1" si="17"/>
        <v>63279035.122414634</v>
      </c>
      <c r="AF65" s="7">
        <f t="shared" ca="1" si="17"/>
        <v>65205224.984313898</v>
      </c>
      <c r="AG65" s="7">
        <f t="shared" ca="1" si="17"/>
        <v>67179195.292039007</v>
      </c>
      <c r="AH65" s="7">
        <f t="shared" ca="1" si="17"/>
        <v>69201833.191201836</v>
      </c>
      <c r="AI65" s="7">
        <f t="shared" ca="1" si="17"/>
        <v>71274024.086755648</v>
      </c>
      <c r="AJ65" s="7">
        <f t="shared" ca="1" si="17"/>
        <v>73396650.145214409</v>
      </c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  <c r="DA65" s="181"/>
      <c r="DB65" s="181"/>
      <c r="DC65" s="181"/>
      <c r="DD65" s="181"/>
      <c r="DE65" s="181"/>
      <c r="DF65" s="181"/>
      <c r="DG65" s="181"/>
      <c r="DH65" s="181"/>
      <c r="DI65" s="181"/>
      <c r="DJ65" s="181"/>
      <c r="DK65" s="181"/>
      <c r="DL65" s="181"/>
      <c r="DM65" s="181"/>
      <c r="DN65" s="181"/>
      <c r="DO65" s="181"/>
      <c r="DP65" s="181"/>
      <c r="DQ65" s="181"/>
      <c r="DR65" s="181"/>
      <c r="DS65" s="181"/>
      <c r="DT65" s="181"/>
      <c r="DU65" s="181"/>
      <c r="DV65" s="181"/>
      <c r="DW65" s="181"/>
      <c r="DX65" s="181"/>
      <c r="DY65" s="181"/>
      <c r="DZ65" s="181"/>
      <c r="EA65" s="181"/>
      <c r="EB65" s="181"/>
      <c r="EC65" s="181"/>
      <c r="ED65" s="181"/>
      <c r="EE65" s="181"/>
      <c r="EF65" s="181"/>
      <c r="EG65" s="181"/>
      <c r="EH65" s="181"/>
    </row>
    <row r="66" spans="2:138">
      <c r="D66" s="4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  <c r="CH66" s="181"/>
      <c r="CI66" s="181"/>
      <c r="CJ66" s="181"/>
      <c r="CK66" s="181"/>
      <c r="CL66" s="181"/>
      <c r="CM66" s="181"/>
      <c r="CN66" s="181"/>
      <c r="CO66" s="181"/>
      <c r="CP66" s="181"/>
      <c r="CQ66" s="181"/>
      <c r="CR66" s="181"/>
      <c r="CS66" s="181"/>
      <c r="CT66" s="181"/>
      <c r="CU66" s="181"/>
      <c r="CV66" s="181"/>
      <c r="CW66" s="181"/>
      <c r="CX66" s="181"/>
      <c r="CY66" s="181"/>
      <c r="CZ66" s="181"/>
      <c r="DA66" s="181"/>
      <c r="DB66" s="181"/>
      <c r="DC66" s="181"/>
      <c r="DD66" s="181"/>
      <c r="DE66" s="181"/>
      <c r="DF66" s="181"/>
      <c r="DG66" s="181"/>
      <c r="DH66" s="181"/>
      <c r="DI66" s="181"/>
      <c r="DJ66" s="181"/>
      <c r="DK66" s="181"/>
      <c r="DL66" s="181"/>
      <c r="DM66" s="181"/>
      <c r="DN66" s="181"/>
      <c r="DO66" s="181"/>
      <c r="DP66" s="181"/>
      <c r="DQ66" s="181"/>
      <c r="DR66" s="181"/>
      <c r="DS66" s="181"/>
      <c r="DT66" s="181"/>
      <c r="DU66" s="181"/>
      <c r="DV66" s="181"/>
      <c r="DW66" s="181"/>
      <c r="DX66" s="181"/>
      <c r="DY66" s="181"/>
      <c r="DZ66" s="181"/>
      <c r="EA66" s="181"/>
      <c r="EB66" s="181"/>
      <c r="EC66" s="181"/>
      <c r="ED66" s="181"/>
      <c r="EE66" s="181"/>
      <c r="EF66" s="181"/>
      <c r="EG66" s="181"/>
      <c r="EH66" s="181"/>
    </row>
    <row r="67" spans="2:138" ht="14.4">
      <c r="B67" s="10" t="s">
        <v>432</v>
      </c>
      <c r="D67" s="4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  <c r="CH67" s="181"/>
      <c r="CI67" s="181"/>
      <c r="CJ67" s="181"/>
      <c r="CK67" s="181"/>
      <c r="CL67" s="181"/>
      <c r="CM67" s="181"/>
      <c r="CN67" s="181"/>
      <c r="CO67" s="181"/>
      <c r="CP67" s="181"/>
      <c r="CQ67" s="181"/>
      <c r="CR67" s="181"/>
      <c r="CS67" s="181"/>
      <c r="CT67" s="181"/>
      <c r="CU67" s="181"/>
      <c r="CV67" s="181"/>
      <c r="CW67" s="181"/>
      <c r="CX67" s="181"/>
      <c r="CY67" s="181"/>
      <c r="CZ67" s="181"/>
      <c r="DA67" s="181"/>
      <c r="DB67" s="181"/>
      <c r="DC67" s="181"/>
      <c r="DD67" s="181"/>
      <c r="DE67" s="181"/>
      <c r="DF67" s="181"/>
      <c r="DG67" s="181"/>
      <c r="DH67" s="181"/>
      <c r="DI67" s="181"/>
      <c r="DJ67" s="181"/>
      <c r="DK67" s="181"/>
      <c r="DL67" s="181"/>
      <c r="DM67" s="181"/>
      <c r="DN67" s="181"/>
      <c r="DO67" s="181"/>
      <c r="DP67" s="181"/>
      <c r="DQ67" s="181"/>
      <c r="DR67" s="181"/>
      <c r="DS67" s="181"/>
      <c r="DT67" s="181"/>
      <c r="DU67" s="181"/>
      <c r="DV67" s="181"/>
      <c r="DW67" s="181"/>
      <c r="DX67" s="181"/>
      <c r="DY67" s="181"/>
      <c r="DZ67" s="181"/>
      <c r="EA67" s="181"/>
      <c r="EB67" s="181"/>
      <c r="EC67" s="181"/>
      <c r="ED67" s="181"/>
      <c r="EE67" s="181"/>
      <c r="EF67" s="181"/>
      <c r="EG67" s="181"/>
      <c r="EH67" s="181"/>
    </row>
    <row r="68" spans="2:138">
      <c r="B68" t="s">
        <v>425</v>
      </c>
      <c r="D68" s="4"/>
      <c r="F68" s="7">
        <f>E73</f>
        <v>0</v>
      </c>
      <c r="G68" s="7">
        <f t="shared" ref="G68:AJ68" si="18">F73</f>
        <v>0</v>
      </c>
      <c r="H68" s="7">
        <f t="shared" si="18"/>
        <v>0</v>
      </c>
      <c r="I68" s="7">
        <f t="shared" si="18"/>
        <v>0</v>
      </c>
      <c r="J68" s="7">
        <f t="shared" si="18"/>
        <v>0</v>
      </c>
      <c r="K68" s="7">
        <f t="shared" si="18"/>
        <v>0</v>
      </c>
      <c r="L68" s="7">
        <f t="shared" si="18"/>
        <v>0</v>
      </c>
      <c r="M68" s="7">
        <f t="shared" si="18"/>
        <v>0</v>
      </c>
      <c r="N68" s="7">
        <f t="shared" si="18"/>
        <v>0</v>
      </c>
      <c r="O68" s="7">
        <f t="shared" si="18"/>
        <v>0</v>
      </c>
      <c r="P68" s="7">
        <f t="shared" si="18"/>
        <v>0</v>
      </c>
      <c r="Q68" s="7">
        <f t="shared" si="18"/>
        <v>0</v>
      </c>
      <c r="R68" s="7">
        <f t="shared" ca="1" si="18"/>
        <v>635265489.46873713</v>
      </c>
      <c r="S68" s="7">
        <f t="shared" ca="1" si="18"/>
        <v>635265489.46873713</v>
      </c>
      <c r="T68" s="7">
        <f t="shared" ca="1" si="18"/>
        <v>635265489.46873713</v>
      </c>
      <c r="U68" s="7">
        <f t="shared" ca="1" si="18"/>
        <v>635265489.46873713</v>
      </c>
      <c r="V68" s="7">
        <f t="shared" ca="1" si="18"/>
        <v>635265489.46873713</v>
      </c>
      <c r="W68" s="7">
        <f t="shared" ca="1" si="18"/>
        <v>635265489.46873713</v>
      </c>
      <c r="X68" s="7">
        <f t="shared" ca="1" si="18"/>
        <v>635265489.46873713</v>
      </c>
      <c r="Y68" s="7">
        <f t="shared" ca="1" si="18"/>
        <v>635265489.46873713</v>
      </c>
      <c r="Z68" s="7">
        <f t="shared" ca="1" si="18"/>
        <v>635265489.46873713</v>
      </c>
      <c r="AA68" s="7">
        <f t="shared" ca="1" si="18"/>
        <v>635265489.46873713</v>
      </c>
      <c r="AB68" s="7">
        <f t="shared" ca="1" si="18"/>
        <v>0</v>
      </c>
      <c r="AC68" s="7">
        <f t="shared" ca="1" si="18"/>
        <v>0</v>
      </c>
      <c r="AD68" s="7">
        <f t="shared" ca="1" si="18"/>
        <v>0</v>
      </c>
      <c r="AE68" s="7">
        <f t="shared" ca="1" si="18"/>
        <v>0</v>
      </c>
      <c r="AF68" s="7">
        <f t="shared" ca="1" si="18"/>
        <v>0</v>
      </c>
      <c r="AG68" s="7">
        <f t="shared" ca="1" si="18"/>
        <v>0</v>
      </c>
      <c r="AH68" s="7">
        <f t="shared" ca="1" si="18"/>
        <v>0</v>
      </c>
      <c r="AI68" s="7">
        <f t="shared" ca="1" si="18"/>
        <v>0</v>
      </c>
      <c r="AJ68" s="7">
        <f t="shared" ca="1" si="18"/>
        <v>0</v>
      </c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  <c r="CH68" s="181"/>
      <c r="CI68" s="181"/>
      <c r="CJ68" s="181"/>
      <c r="CK68" s="181"/>
      <c r="CL68" s="181"/>
      <c r="CM68" s="181"/>
      <c r="CN68" s="181"/>
      <c r="CO68" s="181"/>
      <c r="CP68" s="181"/>
      <c r="CQ68" s="181"/>
      <c r="CR68" s="181"/>
      <c r="CS68" s="181"/>
      <c r="CT68" s="181"/>
      <c r="CU68" s="181"/>
      <c r="CV68" s="181"/>
      <c r="CW68" s="181"/>
      <c r="CX68" s="181"/>
      <c r="CY68" s="181"/>
      <c r="CZ68" s="181"/>
      <c r="DA68" s="181"/>
      <c r="DB68" s="181"/>
      <c r="DC68" s="181"/>
      <c r="DD68" s="181"/>
      <c r="DE68" s="181"/>
      <c r="DF68" s="181"/>
      <c r="DG68" s="181"/>
      <c r="DH68" s="181"/>
      <c r="DI68" s="181"/>
      <c r="DJ68" s="181"/>
      <c r="DK68" s="181"/>
      <c r="DL68" s="181"/>
      <c r="DM68" s="181"/>
      <c r="DN68" s="181"/>
      <c r="DO68" s="181"/>
      <c r="DP68" s="181"/>
      <c r="DQ68" s="181"/>
      <c r="DR68" s="181"/>
      <c r="DS68" s="181"/>
      <c r="DT68" s="181"/>
      <c r="DU68" s="181"/>
      <c r="DV68" s="181"/>
      <c r="DW68" s="181"/>
      <c r="DX68" s="181"/>
      <c r="DY68" s="181"/>
      <c r="DZ68" s="181"/>
      <c r="EA68" s="181"/>
      <c r="EB68" s="181"/>
      <c r="EC68" s="181"/>
      <c r="ED68" s="181"/>
      <c r="EE68" s="181"/>
      <c r="EF68" s="181"/>
      <c r="EG68" s="181"/>
      <c r="EH68" s="181"/>
    </row>
    <row r="69" spans="2:138">
      <c r="B69" t="s">
        <v>426</v>
      </c>
      <c r="D69" s="4"/>
      <c r="F69" s="7">
        <f>IF(F13='Phase II - Summary'!$D$27,'Phase II - Summary'!$I$49*'Phase II - Summary'!$I$48,0)</f>
        <v>0</v>
      </c>
      <c r="G69" s="7">
        <f>IF(G13='Phase II - Summary'!$D$27,'Phase II - Summary'!$I$49*'Phase II - Summary'!$I$48,0)</f>
        <v>0</v>
      </c>
      <c r="H69" s="7">
        <f>IF(H13='Phase II - Summary'!$D$27,'Phase II - Summary'!$I$49*'Phase II - Summary'!$I$48,0)</f>
        <v>0</v>
      </c>
      <c r="I69" s="7">
        <f>IF(I13='Phase II - Summary'!$D$27,'Phase II - Summary'!$I$49*'Phase II - Summary'!$I$48,0)</f>
        <v>0</v>
      </c>
      <c r="J69" s="7">
        <f>IF(J13='Phase II - Summary'!$D$27,'Phase II - Summary'!$I$49*'Phase II - Summary'!$I$48,0)</f>
        <v>0</v>
      </c>
      <c r="K69" s="7">
        <f>IF(K13='Phase II - Summary'!$D$27,'Phase II - Summary'!$I$49*'Phase II - Summary'!$I$48,0)</f>
        <v>0</v>
      </c>
      <c r="L69" s="7">
        <f>IF(L13='Phase II - Summary'!$D$27,'Phase II - Summary'!$I$49*'Phase II - Summary'!$I$48,0)</f>
        <v>0</v>
      </c>
      <c r="M69" s="7">
        <f>IF(M13='Phase II - Summary'!$D$27,'Phase II - Summary'!$I$49*'Phase II - Summary'!$I$48,0)</f>
        <v>0</v>
      </c>
      <c r="N69" s="7">
        <f>IF(N13='Phase II - Summary'!$D$27,'Phase II - Summary'!$I$49*'Phase II - Summary'!$I$48,0)</f>
        <v>0</v>
      </c>
      <c r="O69" s="7">
        <f>IF(O13='Phase II - Summary'!$D$27,'Phase II - Summary'!$I$49*'Phase II - Summary'!$I$48,0)</f>
        <v>0</v>
      </c>
      <c r="P69" s="7">
        <f>IF(P13='Phase II - Summary'!$D$27,'Phase II - Summary'!$I$49*'Phase II - Summary'!$I$48,0)</f>
        <v>0</v>
      </c>
      <c r="Q69" s="7">
        <f ca="1">IF(Q13='Phase II - Summary'!$D$27,'Phase II - Summary'!$I$49*'Phase II - Summary'!$I$48,0)</f>
        <v>6352654.8946873713</v>
      </c>
      <c r="R69" s="7">
        <f>IF(R13='Phase II - Summary'!$D$27,'Phase II - Summary'!$I$49*'Phase II - Summary'!$I$48,0)</f>
        <v>0</v>
      </c>
      <c r="S69" s="7">
        <f>IF(S13='Phase II - Summary'!$D$27,'Phase II - Summary'!$I$49*'Phase II - Summary'!$I$48,0)</f>
        <v>0</v>
      </c>
      <c r="T69" s="7">
        <f>IF(T13='Phase II - Summary'!$D$27,'Phase II - Summary'!$I$49*'Phase II - Summary'!$I$48,0)</f>
        <v>0</v>
      </c>
      <c r="U69" s="7">
        <f>IF(U13='Phase II - Summary'!$D$27,'Phase II - Summary'!$I$49*'Phase II - Summary'!$I$48,0)</f>
        <v>0</v>
      </c>
      <c r="V69" s="7">
        <f>IF(V13='Phase II - Summary'!$D$27,'Phase II - Summary'!$I$49*'Phase II - Summary'!$I$48,0)</f>
        <v>0</v>
      </c>
      <c r="W69" s="7">
        <f>IF(W13='Phase II - Summary'!$D$27,'Phase II - Summary'!$I$49*'Phase II - Summary'!$I$48,0)</f>
        <v>0</v>
      </c>
      <c r="X69" s="7">
        <f>IF(X13='Phase II - Summary'!$D$27,'Phase II - Summary'!$I$49*'Phase II - Summary'!$I$48,0)</f>
        <v>0</v>
      </c>
      <c r="Y69" s="7">
        <f>IF(Y13='Phase II - Summary'!$D$27,'Phase II - Summary'!$I$49*'Phase II - Summary'!$I$48,0)</f>
        <v>0</v>
      </c>
      <c r="Z69" s="7">
        <f>IF(Z13='Phase II - Summary'!$D$27,'Phase II - Summary'!$I$49*'Phase II - Summary'!$I$48,0)</f>
        <v>0</v>
      </c>
      <c r="AA69" s="7">
        <f>IF(AA13='Phase II - Summary'!$D$27,'Phase II - Summary'!$I$49*'Phase II - Summary'!$I$48,0)</f>
        <v>0</v>
      </c>
      <c r="AB69" s="7">
        <f>IF(AB13='Phase II - Summary'!$D$27,'Phase II - Summary'!$I$49*'Phase II - Summary'!$I$48,0)</f>
        <v>0</v>
      </c>
      <c r="AC69" s="7">
        <f>IF(AC13='Phase II - Summary'!$D$27,'Phase II - Summary'!$I$49*'Phase II - Summary'!$I$48,0)</f>
        <v>0</v>
      </c>
      <c r="AD69" s="7">
        <f>IF(AD13='Phase II - Summary'!$D$27,'Phase II - Summary'!$I$49*'Phase II - Summary'!$I$48,0)</f>
        <v>0</v>
      </c>
      <c r="AE69" s="7">
        <f>IF(AE13='Phase II - Summary'!$D$27,'Phase II - Summary'!$I$49*'Phase II - Summary'!$I$48,0)</f>
        <v>0</v>
      </c>
      <c r="AF69" s="7">
        <f>IF(AF13='Phase II - Summary'!$D$27,'Phase II - Summary'!$I$49*'Phase II - Summary'!$I$48,0)</f>
        <v>0</v>
      </c>
      <c r="AG69" s="7">
        <f>IF(AG13='Phase II - Summary'!$D$27,'Phase II - Summary'!$I$49*'Phase II - Summary'!$I$48,0)</f>
        <v>0</v>
      </c>
      <c r="AH69" s="7">
        <f>IF(AH13='Phase II - Summary'!$D$27,'Phase II - Summary'!$I$49*'Phase II - Summary'!$I$48,0)</f>
        <v>0</v>
      </c>
      <c r="AI69" s="7">
        <f>IF(AI13='Phase II - Summary'!$D$27,'Phase II - Summary'!$I$49*'Phase II - Summary'!$I$48,0)</f>
        <v>0</v>
      </c>
      <c r="AJ69" s="7">
        <f>IF(AJ13='Phase II - Summary'!$D$27,'Phase II - Summary'!$I$49*'Phase II - Summary'!$I$48,0)</f>
        <v>0</v>
      </c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1"/>
      <c r="DX69" s="181"/>
      <c r="DY69" s="181"/>
      <c r="DZ69" s="181"/>
      <c r="EA69" s="181"/>
      <c r="EB69" s="181"/>
      <c r="EC69" s="181"/>
      <c r="ED69" s="181"/>
      <c r="EE69" s="181"/>
      <c r="EF69" s="181"/>
      <c r="EG69" s="181"/>
      <c r="EH69" s="181"/>
    </row>
    <row r="70" spans="2:138">
      <c r="B70" t="s">
        <v>427</v>
      </c>
      <c r="D70" s="4"/>
      <c r="F70" s="7">
        <f>IF(F13='Phase II - Summary'!$I$44,'Phase II - Summary'!$I$48,0)</f>
        <v>0</v>
      </c>
      <c r="G70" s="7">
        <f>IF(G13='Phase II - Summary'!$I$44,'Phase II - Summary'!$I$48,0)</f>
        <v>0</v>
      </c>
      <c r="H70" s="7">
        <f>IF(H13='Phase II - Summary'!$I$44,'Phase II - Summary'!$I$48,0)</f>
        <v>0</v>
      </c>
      <c r="I70" s="7">
        <f>IF(I13='Phase II - Summary'!$I$44,'Phase II - Summary'!$I$48,0)</f>
        <v>0</v>
      </c>
      <c r="J70" s="7">
        <f>IF(J13='Phase II - Summary'!$I$44,'Phase II - Summary'!$I$48,0)</f>
        <v>0</v>
      </c>
      <c r="K70" s="7">
        <f>IF(K13='Phase II - Summary'!$I$44,'Phase II - Summary'!$I$48,0)</f>
        <v>0</v>
      </c>
      <c r="L70" s="7">
        <f>IF(L13='Phase II - Summary'!$I$44,'Phase II - Summary'!$I$48,0)</f>
        <v>0</v>
      </c>
      <c r="M70" s="7">
        <f>IF(M13='Phase II - Summary'!$I$44,'Phase II - Summary'!$I$48,0)</f>
        <v>0</v>
      </c>
      <c r="N70" s="7">
        <f>IF(N13='Phase II - Summary'!$I$44,'Phase II - Summary'!$I$48,0)</f>
        <v>0</v>
      </c>
      <c r="O70" s="7">
        <f>IF(O13='Phase II - Summary'!$I$44,'Phase II - Summary'!$I$48,0)</f>
        <v>0</v>
      </c>
      <c r="P70" s="7">
        <f>IF(P13='Phase II - Summary'!$I$44,'Phase II - Summary'!$I$48,0)</f>
        <v>0</v>
      </c>
      <c r="Q70" s="7">
        <f ca="1">IF(Q13='Phase II - Summary'!$I$44,'Phase II - Summary'!$I$48,0)</f>
        <v>635265489.46873713</v>
      </c>
      <c r="R70" s="7">
        <f>IF(R13='Phase II - Summary'!$I$44,'Phase II - Summary'!$I$48,0)</f>
        <v>0</v>
      </c>
      <c r="S70" s="7">
        <f>IF(S13='Phase II - Summary'!$I$44,'Phase II - Summary'!$I$48,0)</f>
        <v>0</v>
      </c>
      <c r="T70" s="7">
        <f>IF(T13='Phase II - Summary'!$I$44,'Phase II - Summary'!$I$48,0)</f>
        <v>0</v>
      </c>
      <c r="U70" s="7">
        <f>IF(U13='Phase II - Summary'!$I$44,'Phase II - Summary'!$I$48,0)</f>
        <v>0</v>
      </c>
      <c r="V70" s="7">
        <f>IF(V13='Phase II - Summary'!$I$44,'Phase II - Summary'!$I$48,0)</f>
        <v>0</v>
      </c>
      <c r="W70" s="7">
        <f>IF(W13='Phase II - Summary'!$I$44,'Phase II - Summary'!$I$48,0)</f>
        <v>0</v>
      </c>
      <c r="X70" s="7">
        <f>IF(X13='Phase II - Summary'!$I$44,'Phase II - Summary'!$I$48,0)</f>
        <v>0</v>
      </c>
      <c r="Y70" s="7">
        <f>IF(Y13='Phase II - Summary'!$I$44,'Phase II - Summary'!$I$48,0)</f>
        <v>0</v>
      </c>
      <c r="Z70" s="7">
        <f>IF(Z13='Phase II - Summary'!$I$44,'Phase II - Summary'!$I$48,0)</f>
        <v>0</v>
      </c>
      <c r="AA70" s="7">
        <f>IF(AA13='Phase II - Summary'!$I$44,'Phase II - Summary'!$I$48,0)</f>
        <v>0</v>
      </c>
      <c r="AB70" s="7">
        <f>IF(AB13='Phase II - Summary'!$I$44,'Phase II - Summary'!$I$48,0)</f>
        <v>0</v>
      </c>
      <c r="AC70" s="7">
        <f>IF(AC13='Phase II - Summary'!$I$44,'Phase II - Summary'!$I$48,0)</f>
        <v>0</v>
      </c>
      <c r="AD70" s="7">
        <f>IF(AD13='Phase II - Summary'!$I$44,'Phase II - Summary'!$I$48,0)</f>
        <v>0</v>
      </c>
      <c r="AE70" s="7">
        <f>IF(AE13='Phase II - Summary'!$I$44,'Phase II - Summary'!$I$48,0)</f>
        <v>0</v>
      </c>
      <c r="AF70" s="7">
        <f>IF(AF13='Phase II - Summary'!$I$44,'Phase II - Summary'!$I$48,0)</f>
        <v>0</v>
      </c>
      <c r="AG70" s="7">
        <f>IF(AG13='Phase II - Summary'!$I$44,'Phase II - Summary'!$I$48,0)</f>
        <v>0</v>
      </c>
      <c r="AH70" s="7">
        <f>IF(AH13='Phase II - Summary'!$I$44,'Phase II - Summary'!$I$48,0)</f>
        <v>0</v>
      </c>
      <c r="AI70" s="7">
        <f>IF(AI13='Phase II - Summary'!$I$44,'Phase II - Summary'!$I$48,0)</f>
        <v>0</v>
      </c>
      <c r="AJ70" s="7">
        <f>IF(AJ13='Phase II - Summary'!$I$44,'Phase II - Summary'!$I$48,0)</f>
        <v>0</v>
      </c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81"/>
      <c r="DR70" s="181"/>
      <c r="DS70" s="181"/>
      <c r="DT70" s="181"/>
      <c r="DU70" s="181"/>
      <c r="DV70" s="181"/>
      <c r="DW70" s="181"/>
      <c r="DX70" s="181"/>
      <c r="DY70" s="181"/>
      <c r="DZ70" s="181"/>
      <c r="EA70" s="181"/>
      <c r="EB70" s="181"/>
      <c r="EC70" s="181"/>
      <c r="ED70" s="181"/>
      <c r="EE70" s="181"/>
      <c r="EF70" s="181"/>
      <c r="EG70" s="181"/>
      <c r="EH70" s="181"/>
    </row>
    <row r="71" spans="2:138">
      <c r="B71" t="s">
        <v>428</v>
      </c>
      <c r="D71" s="4"/>
      <c r="F71" s="7">
        <f>F68*'Phase II - Summary'!$I$40</f>
        <v>0</v>
      </c>
      <c r="G71" s="7">
        <f>G68*'Phase II - Summary'!$I$40</f>
        <v>0</v>
      </c>
      <c r="H71" s="7">
        <f>H68*'Phase II - Summary'!$I$40</f>
        <v>0</v>
      </c>
      <c r="I71" s="7">
        <f>I68*'Phase II - Summary'!$I$40</f>
        <v>0</v>
      </c>
      <c r="J71" s="7">
        <f>J68*'Phase II - Summary'!$I$40</f>
        <v>0</v>
      </c>
      <c r="K71" s="7">
        <f>K68*'Phase II - Summary'!$I$40</f>
        <v>0</v>
      </c>
      <c r="L71" s="7">
        <f>L68*'Phase II - Summary'!$I$40</f>
        <v>0</v>
      </c>
      <c r="M71" s="7">
        <f>M68*'Phase II - Summary'!$I$40</f>
        <v>0</v>
      </c>
      <c r="N71" s="7">
        <f>N68*'Phase II - Summary'!$I$40</f>
        <v>0</v>
      </c>
      <c r="O71" s="7">
        <f>O68*'Phase II - Summary'!$I$40</f>
        <v>0</v>
      </c>
      <c r="P71" s="7">
        <f>P68*'Phase II - Summary'!$I$40</f>
        <v>0</v>
      </c>
      <c r="Q71" s="7">
        <f>Q68*'Phase II - Summary'!$I$40</f>
        <v>0</v>
      </c>
      <c r="R71" s="7">
        <f ca="1">R68*'Phase II - Summary'!$I$40</f>
        <v>28586947.02609317</v>
      </c>
      <c r="S71" s="7">
        <f ca="1">S68*'Phase II - Summary'!$I$40</f>
        <v>28586947.02609317</v>
      </c>
      <c r="T71" s="7">
        <f ca="1">T68*'Phase II - Summary'!$I$40</f>
        <v>28586947.02609317</v>
      </c>
      <c r="U71" s="7">
        <f ca="1">U68*'Phase II - Summary'!$I$40</f>
        <v>28586947.02609317</v>
      </c>
      <c r="V71" s="7">
        <f ca="1">V68*'Phase II - Summary'!$I$40</f>
        <v>28586947.02609317</v>
      </c>
      <c r="W71" s="7">
        <f ca="1">W68*'Phase II - Summary'!$I$40</f>
        <v>28586947.02609317</v>
      </c>
      <c r="X71" s="7">
        <f ca="1">X68*'Phase II - Summary'!$I$40</f>
        <v>28586947.02609317</v>
      </c>
      <c r="Y71" s="7">
        <f ca="1">Y68*'Phase II - Summary'!$I$40</f>
        <v>28586947.02609317</v>
      </c>
      <c r="Z71" s="7">
        <f ca="1">Z68*'Phase II - Summary'!$I$40</f>
        <v>28586947.02609317</v>
      </c>
      <c r="AA71" s="7">
        <f ca="1">AA68*'Phase II - Summary'!$I$40</f>
        <v>28586947.02609317</v>
      </c>
      <c r="AB71" s="7">
        <f ca="1">AB68*'Phase II - Summary'!$I$40</f>
        <v>0</v>
      </c>
      <c r="AC71" s="7">
        <f ca="1">AC68*'Phase II - Summary'!$I$40</f>
        <v>0</v>
      </c>
      <c r="AD71" s="7">
        <f ca="1">AD68*'Phase II - Summary'!$I$40</f>
        <v>0</v>
      </c>
      <c r="AE71" s="7">
        <f ca="1">AE68*'Phase II - Summary'!$I$40</f>
        <v>0</v>
      </c>
      <c r="AF71" s="7">
        <f ca="1">AF68*'Phase II - Summary'!$I$40</f>
        <v>0</v>
      </c>
      <c r="AG71" s="7">
        <f ca="1">AG68*'Phase II - Summary'!$I$40</f>
        <v>0</v>
      </c>
      <c r="AH71" s="7">
        <f ca="1">AH68*'Phase II - Summary'!$I$40</f>
        <v>0</v>
      </c>
      <c r="AI71" s="7">
        <f ca="1">AI68*'Phase II - Summary'!$I$40</f>
        <v>0</v>
      </c>
      <c r="AJ71" s="7">
        <f ca="1">AJ68*'Phase II - Summary'!$I$40</f>
        <v>0</v>
      </c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  <c r="CH71" s="181"/>
      <c r="CI71" s="181"/>
      <c r="CJ71" s="181"/>
      <c r="CK71" s="181"/>
      <c r="CL71" s="181"/>
      <c r="CM71" s="181"/>
      <c r="CN71" s="181"/>
      <c r="CO71" s="181"/>
      <c r="CP71" s="181"/>
      <c r="CQ71" s="181"/>
      <c r="CR71" s="181"/>
      <c r="CS71" s="181"/>
      <c r="CT71" s="181"/>
      <c r="CU71" s="181"/>
      <c r="CV71" s="181"/>
      <c r="CW71" s="181"/>
      <c r="CX71" s="181"/>
      <c r="CY71" s="181"/>
      <c r="CZ71" s="181"/>
      <c r="DA71" s="181"/>
      <c r="DB71" s="181"/>
      <c r="DC71" s="181"/>
      <c r="DD71" s="181"/>
      <c r="DE71" s="181"/>
      <c r="DF71" s="181"/>
      <c r="DG71" s="181"/>
      <c r="DH71" s="181"/>
      <c r="DI71" s="181"/>
      <c r="DJ71" s="181"/>
      <c r="DK71" s="181"/>
      <c r="DL71" s="181"/>
      <c r="DM71" s="181"/>
      <c r="DN71" s="181"/>
      <c r="DO71" s="181"/>
      <c r="DP71" s="181"/>
      <c r="DQ71" s="181"/>
      <c r="DR71" s="181"/>
      <c r="DS71" s="181"/>
      <c r="DT71" s="181"/>
      <c r="DU71" s="181"/>
      <c r="DV71" s="181"/>
      <c r="DW71" s="181"/>
      <c r="DX71" s="181"/>
      <c r="DY71" s="181"/>
      <c r="DZ71" s="181"/>
      <c r="EA71" s="181"/>
      <c r="EB71" s="181"/>
      <c r="EC71" s="181"/>
      <c r="ED71" s="181"/>
      <c r="EE71" s="181"/>
      <c r="EF71" s="181"/>
      <c r="EG71" s="181"/>
      <c r="EH71" s="181"/>
    </row>
    <row r="72" spans="2:138">
      <c r="B72" t="s">
        <v>429</v>
      </c>
      <c r="D72" s="4"/>
      <c r="F72" s="7">
        <f>IF(F13='Phase II - Summary'!$I$45,'Phase II - Pro Forma'!F68,0)</f>
        <v>0</v>
      </c>
      <c r="G72" s="7">
        <f>IF(G13='Phase II - Summary'!$I$45,'Phase II - Pro Forma'!G68,0)</f>
        <v>0</v>
      </c>
      <c r="H72" s="7">
        <f>IF(H13='Phase II - Summary'!$I$45,'Phase II - Pro Forma'!H68,0)</f>
        <v>0</v>
      </c>
      <c r="I72" s="7">
        <f>IF(I13='Phase II - Summary'!$I$45,'Phase II - Pro Forma'!I68,0)</f>
        <v>0</v>
      </c>
      <c r="J72" s="7">
        <f>IF(J13='Phase II - Summary'!$I$45,'Phase II - Pro Forma'!J68,0)</f>
        <v>0</v>
      </c>
      <c r="K72" s="7">
        <f>IF(K13='Phase II - Summary'!$I$45,'Phase II - Pro Forma'!K68,0)</f>
        <v>0</v>
      </c>
      <c r="L72" s="7">
        <f>IF(L13='Phase II - Summary'!$I$45,'Phase II - Pro Forma'!L68,0)</f>
        <v>0</v>
      </c>
      <c r="M72" s="7">
        <f>IF(M13='Phase II - Summary'!$I$45,'Phase II - Pro Forma'!M68,0)</f>
        <v>0</v>
      </c>
      <c r="N72" s="7">
        <f>IF(N13='Phase II - Summary'!$I$45,'Phase II - Pro Forma'!N68,0)</f>
        <v>0</v>
      </c>
      <c r="O72" s="7">
        <f>IF(O13='Phase II - Summary'!$I$45,'Phase II - Pro Forma'!O68,0)</f>
        <v>0</v>
      </c>
      <c r="P72" s="7">
        <f>IF(P13='Phase II - Summary'!$I$45,'Phase II - Pro Forma'!P68,0)</f>
        <v>0</v>
      </c>
      <c r="Q72" s="7">
        <f>IF(Q13='Phase II - Summary'!$I$45,'Phase II - Pro Forma'!Q68,0)</f>
        <v>0</v>
      </c>
      <c r="R72" s="7">
        <f>IF(R13='Phase II - Summary'!$I$45,'Phase II - Pro Forma'!R68,0)</f>
        <v>0</v>
      </c>
      <c r="S72" s="7">
        <f>IF(S13='Phase II - Summary'!$I$45,'Phase II - Pro Forma'!S68,0)</f>
        <v>0</v>
      </c>
      <c r="T72" s="7">
        <f>IF(T13='Phase II - Summary'!$I$45,'Phase II - Pro Forma'!T68,0)</f>
        <v>0</v>
      </c>
      <c r="U72" s="7">
        <f>IF(U13='Phase II - Summary'!$I$45,'Phase II - Pro Forma'!U68,0)</f>
        <v>0</v>
      </c>
      <c r="V72" s="7">
        <f>IF(V13='Phase II - Summary'!$I$45,'Phase II - Pro Forma'!V68,0)</f>
        <v>0</v>
      </c>
      <c r="W72" s="7">
        <f>IF(W13='Phase II - Summary'!$I$45,'Phase II - Pro Forma'!W68,0)</f>
        <v>0</v>
      </c>
      <c r="X72" s="7">
        <f>IF(X13='Phase II - Summary'!$I$45,'Phase II - Pro Forma'!X68,0)</f>
        <v>0</v>
      </c>
      <c r="Y72" s="7">
        <f>IF(Y13='Phase II - Summary'!$I$45,'Phase II - Pro Forma'!Y68,0)</f>
        <v>0</v>
      </c>
      <c r="Z72" s="7">
        <f>IF(Z13='Phase II - Summary'!$I$45,'Phase II - Pro Forma'!Z68,0)</f>
        <v>0</v>
      </c>
      <c r="AA72" s="7">
        <f ca="1">IF(AA13='Phase II - Summary'!$I$45,'Phase II - Pro Forma'!AA68,0)</f>
        <v>635265489.46873713</v>
      </c>
      <c r="AB72" s="7">
        <f>IF(AB13='Phase II - Summary'!$I$45,'Phase II - Pro Forma'!AB68,0)</f>
        <v>0</v>
      </c>
      <c r="AC72" s="7">
        <f>IF(AC13='Phase II - Summary'!$I$45,'Phase II - Pro Forma'!AC68,0)</f>
        <v>0</v>
      </c>
      <c r="AD72" s="7">
        <f>IF(AD13='Phase II - Summary'!$I$45,'Phase II - Pro Forma'!AD68,0)</f>
        <v>0</v>
      </c>
      <c r="AE72" s="7">
        <f>IF(AE13='Phase II - Summary'!$I$45,'Phase II - Pro Forma'!AE68,0)</f>
        <v>0</v>
      </c>
      <c r="AF72" s="7">
        <f>IF(AF13='Phase II - Summary'!$I$45,'Phase II - Pro Forma'!AF68,0)</f>
        <v>0</v>
      </c>
      <c r="AG72" s="7">
        <f>IF(AG13='Phase II - Summary'!$I$45,'Phase II - Pro Forma'!AG68,0)</f>
        <v>0</v>
      </c>
      <c r="AH72" s="7">
        <f>IF(AH13='Phase II - Summary'!$I$45,'Phase II - Pro Forma'!AH68,0)</f>
        <v>0</v>
      </c>
      <c r="AI72" s="7">
        <f>IF(AI13='Phase II - Summary'!$I$45,'Phase II - Pro Forma'!AI68,0)</f>
        <v>0</v>
      </c>
      <c r="AJ72" s="7">
        <f>IF(AJ13='Phase II - Summary'!$I$45,'Phase II - Pro Forma'!AJ68,0)</f>
        <v>0</v>
      </c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1"/>
      <c r="DX72" s="181"/>
      <c r="DY72" s="181"/>
      <c r="DZ72" s="181"/>
      <c r="EA72" s="181"/>
      <c r="EB72" s="181"/>
      <c r="EC72" s="181"/>
      <c r="ED72" s="181"/>
      <c r="EE72" s="181"/>
      <c r="EF72" s="181"/>
      <c r="EG72" s="181"/>
      <c r="EH72" s="181"/>
    </row>
    <row r="73" spans="2:138">
      <c r="B73" t="s">
        <v>430</v>
      </c>
      <c r="D73" s="4"/>
      <c r="F73" s="7">
        <f>F68+F70-F72-F71</f>
        <v>0</v>
      </c>
      <c r="G73" s="7">
        <f t="shared" ref="G73:AJ73" si="19">G68+G70-G72</f>
        <v>0</v>
      </c>
      <c r="H73" s="7">
        <f t="shared" si="19"/>
        <v>0</v>
      </c>
      <c r="I73" s="7">
        <f t="shared" si="19"/>
        <v>0</v>
      </c>
      <c r="J73" s="7">
        <f t="shared" si="19"/>
        <v>0</v>
      </c>
      <c r="K73" s="7">
        <f t="shared" si="19"/>
        <v>0</v>
      </c>
      <c r="L73" s="7">
        <f t="shared" si="19"/>
        <v>0</v>
      </c>
      <c r="M73" s="7">
        <f t="shared" si="19"/>
        <v>0</v>
      </c>
      <c r="N73" s="7">
        <f t="shared" si="19"/>
        <v>0</v>
      </c>
      <c r="O73" s="7">
        <f t="shared" si="19"/>
        <v>0</v>
      </c>
      <c r="P73" s="7">
        <f t="shared" si="19"/>
        <v>0</v>
      </c>
      <c r="Q73" s="7">
        <f t="shared" ca="1" si="19"/>
        <v>635265489.46873713</v>
      </c>
      <c r="R73" s="7">
        <f t="shared" ca="1" si="19"/>
        <v>635265489.46873713</v>
      </c>
      <c r="S73" s="7">
        <f t="shared" ca="1" si="19"/>
        <v>635265489.46873713</v>
      </c>
      <c r="T73" s="7">
        <f t="shared" ca="1" si="19"/>
        <v>635265489.46873713</v>
      </c>
      <c r="U73" s="7">
        <f t="shared" ca="1" si="19"/>
        <v>635265489.46873713</v>
      </c>
      <c r="V73" s="7">
        <f t="shared" ca="1" si="19"/>
        <v>635265489.46873713</v>
      </c>
      <c r="W73" s="7">
        <f t="shared" ca="1" si="19"/>
        <v>635265489.46873713</v>
      </c>
      <c r="X73" s="7">
        <f t="shared" ca="1" si="19"/>
        <v>635265489.46873713</v>
      </c>
      <c r="Y73" s="7">
        <f t="shared" ca="1" si="19"/>
        <v>635265489.46873713</v>
      </c>
      <c r="Z73" s="7">
        <f t="shared" ca="1" si="19"/>
        <v>635265489.46873713</v>
      </c>
      <c r="AA73" s="7">
        <f ca="1">AA68+AA70-AA72</f>
        <v>0</v>
      </c>
      <c r="AB73" s="7">
        <f t="shared" ca="1" si="19"/>
        <v>0</v>
      </c>
      <c r="AC73" s="7">
        <f t="shared" ca="1" si="19"/>
        <v>0</v>
      </c>
      <c r="AD73" s="7">
        <f t="shared" ca="1" si="19"/>
        <v>0</v>
      </c>
      <c r="AE73" s="7">
        <f t="shared" ca="1" si="19"/>
        <v>0</v>
      </c>
      <c r="AF73" s="7">
        <f t="shared" ca="1" si="19"/>
        <v>0</v>
      </c>
      <c r="AG73" s="7">
        <f t="shared" ca="1" si="19"/>
        <v>0</v>
      </c>
      <c r="AH73" s="7">
        <f t="shared" ca="1" si="19"/>
        <v>0</v>
      </c>
      <c r="AI73" s="7">
        <f t="shared" ca="1" si="19"/>
        <v>0</v>
      </c>
      <c r="AJ73" s="7">
        <f t="shared" ca="1" si="19"/>
        <v>0</v>
      </c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  <c r="CY73" s="181"/>
      <c r="CZ73" s="181"/>
      <c r="DA73" s="181"/>
      <c r="DB73" s="181"/>
      <c r="DC73" s="181"/>
      <c r="DD73" s="181"/>
      <c r="DE73" s="181"/>
      <c r="DF73" s="181"/>
      <c r="DG73" s="181"/>
      <c r="DH73" s="181"/>
      <c r="DI73" s="181"/>
      <c r="DJ73" s="181"/>
      <c r="DK73" s="181"/>
      <c r="DL73" s="181"/>
      <c r="DM73" s="181"/>
      <c r="DN73" s="181"/>
      <c r="DO73" s="181"/>
      <c r="DP73" s="181"/>
      <c r="DQ73" s="181"/>
      <c r="DR73" s="181"/>
      <c r="DS73" s="181"/>
      <c r="DT73" s="181"/>
      <c r="DU73" s="181"/>
      <c r="DV73" s="181"/>
      <c r="DW73" s="181"/>
      <c r="DX73" s="181"/>
      <c r="DY73" s="181"/>
      <c r="DZ73" s="181"/>
      <c r="EA73" s="181"/>
      <c r="EB73" s="181"/>
      <c r="EC73" s="181"/>
      <c r="ED73" s="181"/>
      <c r="EE73" s="181"/>
      <c r="EF73" s="181"/>
      <c r="EG73" s="181"/>
      <c r="EH73" s="181"/>
    </row>
    <row r="74" spans="2:138">
      <c r="D74" s="4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  <c r="DA74" s="181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/>
      <c r="DN74" s="181"/>
      <c r="DO74" s="181"/>
      <c r="DP74" s="181"/>
      <c r="DQ74" s="181"/>
      <c r="DR74" s="181"/>
      <c r="DS74" s="181"/>
      <c r="DT74" s="181"/>
      <c r="DU74" s="181"/>
      <c r="DV74" s="181"/>
      <c r="DW74" s="181"/>
      <c r="DX74" s="181"/>
      <c r="DY74" s="181"/>
      <c r="DZ74" s="181"/>
      <c r="EA74" s="181"/>
      <c r="EB74" s="181"/>
      <c r="EC74" s="181"/>
      <c r="ED74" s="181"/>
      <c r="EE74" s="181"/>
      <c r="EF74" s="181"/>
      <c r="EG74" s="181"/>
      <c r="EH74" s="181"/>
    </row>
    <row r="75" spans="2:138" ht="13.8" thickBot="1">
      <c r="B75" t="s">
        <v>433</v>
      </c>
      <c r="D75" s="21">
        <f ca="1">SUM(F75:AJ75)</f>
        <v>2007358531.2400403</v>
      </c>
      <c r="F75" s="7">
        <f ca="1">IF(F13&lt;='Phase II - Summary'!$I$45,-F52+F65+F70-F69-F71+F72,0)</f>
        <v>-104048017</v>
      </c>
      <c r="G75" s="7">
        <f ca="1">IF(G13&lt;='Phase II - Summary'!$I$45,-G52+G65+G70-G69-G71+G72,0)</f>
        <v>0</v>
      </c>
      <c r="H75" s="7">
        <f ca="1">IF(H13&lt;='Phase II - Summary'!$I$45,-H52+H65+H70-H69-H71+H72,0)</f>
        <v>0</v>
      </c>
      <c r="I75" s="7">
        <f ca="1">IF(I13&lt;='Phase II - Summary'!$I$45,-I52+I65+I70-I69-I71+I72,0)</f>
        <v>0</v>
      </c>
      <c r="J75" s="7">
        <f ca="1">IF(J13&lt;='Phase II - Summary'!$I$45,-J52+J65+J70-J69-J71+J72,0)</f>
        <v>0</v>
      </c>
      <c r="K75" s="7">
        <f ca="1">IF(K13&lt;='Phase II - Summary'!$I$45,-K52+K65+K70-K69-K71+K72,0)</f>
        <v>-32394767.822199315</v>
      </c>
      <c r="L75" s="7">
        <f ca="1">IF(L13&lt;='Phase II - Summary'!$I$45,-L52+L65+L70-L69-L71+L72,0)</f>
        <v>0</v>
      </c>
      <c r="M75" s="7">
        <f ca="1">IF(M13&lt;='Phase II - Summary'!$I$45,-M52+M65+M70-M69-M71+M72,0)</f>
        <v>0</v>
      </c>
      <c r="N75" s="7">
        <f ca="1">IF(N13&lt;='Phase II - Summary'!$I$45,-N52+N65+N70-N69-N71+N72,0)</f>
        <v>36999318.28005439</v>
      </c>
      <c r="O75" s="7">
        <f ca="1">IF(O13&lt;='Phase II - Summary'!$I$45,-O52+O65+O70-O69-O71+O72,0)</f>
        <v>38245352.785160691</v>
      </c>
      <c r="P75" s="7">
        <f ca="1">IF(P13&lt;='Phase II - Summary'!$I$45,-P52+P65+P70-P69-P71+P72,0)</f>
        <v>39524820.669084407</v>
      </c>
      <c r="Q75" s="7">
        <f ca="1">IF(Q13&lt;='Phase II - Summary'!$I$45,-Q52+Q65+Q70-Q69-Q71+Q72,0)</f>
        <v>1190898706.5359166</v>
      </c>
      <c r="R75" s="7">
        <f ca="1">IF(R13&lt;='Phase II - Summary'!$I$45,-R52+R65+R70-R69-R71+R72,0)</f>
        <v>13600215.89957878</v>
      </c>
      <c r="S75" s="7">
        <f ca="1">IF(S13&lt;='Phase II - Summary'!$I$45,-S52+S65+S70-S69-S71+S72,0)</f>
        <v>14984670.840480275</v>
      </c>
      <c r="T75" s="7">
        <f ca="1">IF(T13&lt;='Phase II - Summary'!$I$45,-T52+T65+T70-T69-T71+T72,0)</f>
        <v>16405719.673749536</v>
      </c>
      <c r="U75" s="7">
        <f ca="1">IF(U13&lt;='Phase II - Summary'!$I$45,-U52+U65+U70-U69-U71+U72,0)</f>
        <v>17864178.60051176</v>
      </c>
      <c r="V75" s="7">
        <f ca="1">IF(V13&lt;='Phase II - Summary'!$I$45,-V52+V65+V70-V69-V71+V72,0)</f>
        <v>19360873.476384096</v>
      </c>
      <c r="W75" s="7">
        <f ca="1">IF(W13&lt;='Phase II - Summary'!$I$45,-W52+W65+W70-W69-W71+W72,0)</f>
        <v>20896639.341078684</v>
      </c>
      <c r="X75" s="7">
        <f ca="1">IF(X13&lt;='Phase II - Summary'!$I$45,-X52+X65+X70-X69-X71+X72,0)</f>
        <v>22472319.895329349</v>
      </c>
      <c r="Y75" s="7">
        <f ca="1">IF(Y13&lt;='Phase II - Summary'!$I$45,-Y52+Y65+Y70-Y69-Y71+Y72,0)</f>
        <v>24088766.921610937</v>
      </c>
      <c r="Z75" s="7">
        <f ca="1">IF(Z13&lt;='Phase II - Summary'!$I$45,-Z52+Z65+Z70-Z69-Z71+Z72,0)</f>
        <v>25746839.644917175</v>
      </c>
      <c r="AA75" s="7">
        <f ca="1">IF(AA13&lt;='Phase II - Summary'!$I$45,-AA52+AA65+AA70-AA69-AA71+AA72,0)</f>
        <v>662712893.49838316</v>
      </c>
      <c r="AB75" s="7">
        <f>IF(AB13&lt;='Phase II - Summary'!$I$45,-AB52+AB65+AB70-AB69-AB71+AB72,0)</f>
        <v>0</v>
      </c>
      <c r="AC75" s="7">
        <f>IF(AC13&lt;='Phase II - Summary'!$I$45,-AC52+AC65+AC70-AC69-AC71+AC72,0)</f>
        <v>0</v>
      </c>
      <c r="AD75" s="7">
        <f>IF(AD13&lt;='Phase II - Summary'!$I$45,-AD52+AD65+AD70-AD69-AD71+AD72,0)</f>
        <v>0</v>
      </c>
      <c r="AE75" s="7">
        <f>IF(AE13&lt;='Phase II - Summary'!$I$45,-AE52+AE65+AE70-AE69-AE71+AE72,0)</f>
        <v>0</v>
      </c>
      <c r="AF75" s="7">
        <f>IF(AF13&lt;='Phase II - Summary'!$I$45,-AF52+AF65+AF70-AF69-AF71+AF72,0)</f>
        <v>0</v>
      </c>
      <c r="AG75" s="7">
        <f>IF(AG13&lt;='Phase II - Summary'!$I$45,-AG52+AG65+AG70-AG69-AG71+AG72,0)</f>
        <v>0</v>
      </c>
      <c r="AH75" s="7">
        <f>IF(AH13&lt;='Phase II - Summary'!$I$45,-AH52+AH65+AH70-AH69-AH71+AH72,0)</f>
        <v>0</v>
      </c>
      <c r="AI75" s="7">
        <f>IF(AI13&lt;='Phase II - Summary'!$I$45,-AI52+AI65+AI70-AI69-AI71+AI72,0)</f>
        <v>0</v>
      </c>
      <c r="AJ75" s="7">
        <f>IF(AJ13&lt;='Phase II - Summary'!$I$45,-AJ52+AJ65+AJ70-AJ69-AJ71+AJ72,0)</f>
        <v>0</v>
      </c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1"/>
      <c r="DX75" s="181"/>
      <c r="DY75" s="181"/>
      <c r="DZ75" s="181"/>
      <c r="EA75" s="181"/>
      <c r="EB75" s="181"/>
      <c r="EC75" s="181"/>
      <c r="ED75" s="181"/>
      <c r="EE75" s="181"/>
      <c r="EF75" s="181"/>
      <c r="EG75" s="181"/>
      <c r="EH75" s="181"/>
    </row>
    <row r="76" spans="2:138" ht="14.4">
      <c r="B76" s="26" t="s">
        <v>434</v>
      </c>
      <c r="C76" s="27"/>
      <c r="D76" s="28">
        <f ca="1">IRR(F75:AJ75)</f>
        <v>0.26373954176781833</v>
      </c>
    </row>
    <row r="77" spans="2:138" ht="15" thickBot="1">
      <c r="B77" s="29" t="s">
        <v>435</v>
      </c>
      <c r="C77" s="30"/>
      <c r="D77" s="31">
        <f ca="1">-SUMIF(F75:DV75,"&gt;0")/SUMIF(F75:DV75,"&lt;0")</f>
        <v>15.71209000795359</v>
      </c>
    </row>
  </sheetData>
  <printOptions horizontalCentered="1"/>
  <pageMargins left="0.7" right="0.7" top="0.75" bottom="0.75" header="0.3" footer="0.3"/>
  <pageSetup paperSize="3" scale="71" fitToWidth="0" orientation="landscape" r:id="rId1"/>
  <headerFooter>
    <oddHeader xml:space="preserve">&amp;L2019 ULI Hines Student Competition&amp;R2019-331 &amp;A </oddHeader>
  </headerFooter>
  <colBreaks count="1" manualBreakCount="1">
    <brk id="17" min="1" max="7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9379-0B22-4DCC-85DF-3EB272E5082D}">
  <sheetPr>
    <tabColor rgb="FFFFC000"/>
  </sheetPr>
  <dimension ref="A8:AK88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3" width="1.88671875" style="63" customWidth="1"/>
    <col min="4" max="4" width="6.44140625" style="63" bestFit="1" customWidth="1"/>
    <col min="5" max="5" width="12.44140625" style="63"/>
    <col min="6" max="6" width="16.77734375" style="63" bestFit="1" customWidth="1"/>
    <col min="7" max="7" width="17.44140625" style="63" bestFit="1" customWidth="1"/>
    <col min="8" max="18" width="14.6640625" style="63" bestFit="1" customWidth="1"/>
    <col min="19" max="19" width="15.21875" style="63" bestFit="1" customWidth="1"/>
    <col min="20" max="20" width="12.77734375" style="63" bestFit="1" customWidth="1"/>
    <col min="21" max="16384" width="12.44140625" style="63"/>
  </cols>
  <sheetData>
    <row r="8" spans="1:19">
      <c r="B8" s="445" t="s">
        <v>762</v>
      </c>
    </row>
    <row r="9" spans="1:19">
      <c r="B9" s="446" t="s">
        <v>766</v>
      </c>
    </row>
    <row r="11" spans="1:19">
      <c r="A11" s="63" t="s">
        <v>472</v>
      </c>
      <c r="B11" s="262" t="s">
        <v>473</v>
      </c>
      <c r="C11" s="262"/>
      <c r="D11" s="262"/>
      <c r="E11" s="262"/>
      <c r="F11" s="262"/>
      <c r="G11" s="262"/>
      <c r="I11" s="262" t="s">
        <v>474</v>
      </c>
      <c r="J11" s="262"/>
      <c r="K11" s="262"/>
      <c r="L11" s="262"/>
      <c r="M11" s="262"/>
      <c r="O11" s="262" t="s">
        <v>475</v>
      </c>
      <c r="P11" s="262"/>
      <c r="Q11" s="262"/>
      <c r="R11" s="262"/>
    </row>
    <row r="12" spans="1:19">
      <c r="B12" s="63" t="s">
        <v>476</v>
      </c>
      <c r="G12" s="582">
        <f>G15/G16</f>
        <v>577.08022664500004</v>
      </c>
      <c r="H12" s="232"/>
      <c r="I12" s="583" t="s">
        <v>477</v>
      </c>
      <c r="J12" s="232"/>
      <c r="K12" s="232"/>
      <c r="L12" s="232"/>
      <c r="M12" s="232"/>
      <c r="O12" s="63" t="s">
        <v>478</v>
      </c>
      <c r="R12" s="67">
        <f ca="1">MAX(G27:G29)</f>
        <v>137568311.90108803</v>
      </c>
    </row>
    <row r="13" spans="1:19">
      <c r="B13" s="63" t="s">
        <v>479</v>
      </c>
      <c r="F13" s="68"/>
      <c r="G13" s="584">
        <f>'Area Matrix'!D42</f>
        <v>678917.91370000003</v>
      </c>
      <c r="H13" s="232"/>
      <c r="I13" s="232" t="s">
        <v>480</v>
      </c>
      <c r="J13" s="232"/>
      <c r="K13" s="232"/>
      <c r="L13" s="232"/>
      <c r="M13" s="571">
        <v>1400</v>
      </c>
      <c r="O13" s="63" t="s">
        <v>460</v>
      </c>
      <c r="R13" s="594">
        <v>5.6000000000000001E-2</v>
      </c>
    </row>
    <row r="14" spans="1:19">
      <c r="B14" s="63" t="s">
        <v>625</v>
      </c>
      <c r="G14" s="585">
        <v>0.85</v>
      </c>
      <c r="H14" s="232"/>
      <c r="I14" s="232" t="s">
        <v>481</v>
      </c>
      <c r="J14" s="232"/>
      <c r="K14" s="232"/>
      <c r="L14" s="232"/>
      <c r="M14" s="571">
        <v>1500</v>
      </c>
      <c r="O14" s="63" t="s">
        <v>482</v>
      </c>
      <c r="R14" s="595">
        <v>20</v>
      </c>
    </row>
    <row r="15" spans="1:19">
      <c r="B15" s="63" t="s">
        <v>557</v>
      </c>
      <c r="G15" s="586">
        <f>G13*G14</f>
        <v>577080.22664500005</v>
      </c>
      <c r="H15" s="232"/>
      <c r="I15" s="232" t="s">
        <v>484</v>
      </c>
      <c r="J15" s="232"/>
      <c r="K15" s="232"/>
      <c r="L15" s="232"/>
      <c r="M15" s="571">
        <v>1700</v>
      </c>
      <c r="O15" s="63" t="s">
        <v>485</v>
      </c>
      <c r="R15" s="596">
        <f ca="1">PMT(R13/12,R14*12,R12)</f>
        <v>-954101.60909834586</v>
      </c>
      <c r="S15" s="73"/>
    </row>
    <row r="16" spans="1:19">
      <c r="B16" s="63" t="s">
        <v>21</v>
      </c>
      <c r="G16" s="573">
        <v>1000</v>
      </c>
      <c r="H16" s="232"/>
      <c r="I16" s="232" t="s">
        <v>487</v>
      </c>
      <c r="J16" s="232"/>
      <c r="K16" s="232"/>
      <c r="L16" s="232"/>
      <c r="M16" s="233">
        <v>0.05</v>
      </c>
      <c r="R16" s="232"/>
    </row>
    <row r="17" spans="1:18">
      <c r="B17" s="63" t="s">
        <v>483</v>
      </c>
      <c r="E17" s="72"/>
      <c r="F17" s="72"/>
      <c r="G17" s="233">
        <v>0.2</v>
      </c>
      <c r="H17" s="232"/>
      <c r="I17" s="232" t="s">
        <v>489</v>
      </c>
      <c r="J17" s="232"/>
      <c r="K17" s="232"/>
      <c r="L17" s="232"/>
      <c r="M17" s="233">
        <v>0.03</v>
      </c>
      <c r="O17" s="63" t="s">
        <v>467</v>
      </c>
      <c r="R17" s="233">
        <v>0.7</v>
      </c>
    </row>
    <row r="18" spans="1:18">
      <c r="B18" s="63" t="s">
        <v>486</v>
      </c>
      <c r="G18" s="233">
        <v>0.5</v>
      </c>
      <c r="H18" s="232"/>
      <c r="I18" s="232" t="s">
        <v>490</v>
      </c>
      <c r="J18" s="232"/>
      <c r="K18" s="232"/>
      <c r="L18" s="232"/>
      <c r="M18" s="587">
        <v>6</v>
      </c>
      <c r="O18" s="63" t="s">
        <v>491</v>
      </c>
      <c r="R18" s="572">
        <v>1.33</v>
      </c>
    </row>
    <row r="19" spans="1:18">
      <c r="B19" s="63" t="s">
        <v>488</v>
      </c>
      <c r="G19" s="233">
        <v>0.3</v>
      </c>
      <c r="H19" s="232"/>
      <c r="I19" s="232" t="s">
        <v>492</v>
      </c>
      <c r="J19" s="232"/>
      <c r="K19" s="232"/>
      <c r="L19" s="232"/>
      <c r="M19" s="587">
        <v>29</v>
      </c>
      <c r="O19" s="63" t="s">
        <v>493</v>
      </c>
      <c r="R19" s="233">
        <v>0.08</v>
      </c>
    </row>
    <row r="20" spans="1:18">
      <c r="B20" s="63" t="s">
        <v>496</v>
      </c>
      <c r="G20" s="584">
        <f>G12/1.5</f>
        <v>384.72015109666671</v>
      </c>
      <c r="H20" s="232"/>
      <c r="I20" s="232" t="s">
        <v>494</v>
      </c>
      <c r="J20" s="232"/>
      <c r="K20" s="232"/>
      <c r="L20" s="232"/>
      <c r="M20" s="588">
        <v>0.3</v>
      </c>
      <c r="O20" s="63" t="s">
        <v>495</v>
      </c>
      <c r="R20" s="233">
        <v>0.05</v>
      </c>
    </row>
    <row r="21" spans="1:18">
      <c r="G21" s="589"/>
      <c r="H21" s="232"/>
      <c r="I21" s="232" t="s">
        <v>497</v>
      </c>
      <c r="J21" s="232"/>
      <c r="K21" s="232"/>
      <c r="L21" s="232"/>
      <c r="M21" s="233">
        <v>0.02</v>
      </c>
      <c r="R21" s="75"/>
    </row>
    <row r="22" spans="1:18">
      <c r="G22" s="590"/>
      <c r="H22" s="232"/>
      <c r="I22" s="232" t="s">
        <v>728</v>
      </c>
      <c r="J22" s="232"/>
      <c r="K22" s="232"/>
      <c r="L22" s="232"/>
      <c r="M22" s="591">
        <f>Taxes!$X$13</f>
        <v>0.06</v>
      </c>
      <c r="O22" s="262" t="s">
        <v>499</v>
      </c>
      <c r="P22" s="262"/>
      <c r="Q22" s="262"/>
      <c r="R22" s="262"/>
    </row>
    <row r="23" spans="1:18">
      <c r="G23" s="232"/>
      <c r="H23" s="232"/>
      <c r="I23" s="232" t="s">
        <v>498</v>
      </c>
      <c r="J23" s="232"/>
      <c r="K23" s="232"/>
      <c r="L23" s="232"/>
      <c r="M23" s="233">
        <v>0.02</v>
      </c>
      <c r="O23" s="63" t="s">
        <v>28</v>
      </c>
      <c r="Q23" s="77">
        <f ca="1">R23/R25</f>
        <v>0.3000000000000001</v>
      </c>
      <c r="R23" s="67">
        <f ca="1">R25-R24</f>
        <v>58957847.957609177</v>
      </c>
    </row>
    <row r="24" spans="1:18">
      <c r="G24" s="232"/>
      <c r="H24" s="232"/>
      <c r="I24" s="232" t="s">
        <v>500</v>
      </c>
      <c r="J24" s="232"/>
      <c r="K24" s="592"/>
      <c r="L24" s="232"/>
      <c r="M24" s="571">
        <v>1920</v>
      </c>
      <c r="O24" s="78" t="s">
        <v>478</v>
      </c>
      <c r="P24" s="78"/>
      <c r="Q24" s="79">
        <f ca="1">R24/R25</f>
        <v>0.7</v>
      </c>
      <c r="R24" s="80">
        <f ca="1">R12</f>
        <v>137568311.90108803</v>
      </c>
    </row>
    <row r="25" spans="1:18">
      <c r="G25" s="593"/>
      <c r="H25" s="232"/>
      <c r="I25" s="232" t="s">
        <v>501</v>
      </c>
      <c r="J25" s="232"/>
      <c r="K25" s="592"/>
      <c r="L25" s="232"/>
      <c r="M25" s="233">
        <v>0.1</v>
      </c>
      <c r="O25" s="63" t="s">
        <v>16</v>
      </c>
      <c r="R25" s="67">
        <f ca="1">R30</f>
        <v>196526159.85869721</v>
      </c>
    </row>
    <row r="26" spans="1:18">
      <c r="B26" s="262" t="s">
        <v>502</v>
      </c>
      <c r="C26" s="262"/>
      <c r="D26" s="262"/>
      <c r="E26" s="262"/>
      <c r="F26" s="262"/>
      <c r="G26" s="262"/>
      <c r="I26" s="63" t="s">
        <v>503</v>
      </c>
      <c r="K26" s="76"/>
      <c r="M26" s="71">
        <v>10</v>
      </c>
    </row>
    <row r="27" spans="1:18">
      <c r="B27" s="63" t="s">
        <v>467</v>
      </c>
      <c r="G27" s="82">
        <f ca="1">R17*R28</f>
        <v>137568311.90108803</v>
      </c>
      <c r="I27" s="63" t="s">
        <v>504</v>
      </c>
      <c r="K27" s="76"/>
      <c r="M27" s="68">
        <v>0.08</v>
      </c>
      <c r="O27" s="262" t="s">
        <v>449</v>
      </c>
      <c r="P27" s="262"/>
      <c r="Q27" s="262"/>
      <c r="R27" s="262"/>
    </row>
    <row r="28" spans="1:18">
      <c r="B28" s="63" t="s">
        <v>491</v>
      </c>
      <c r="G28" s="67">
        <f>H58/R19</f>
        <v>24371302.348318402</v>
      </c>
      <c r="I28" s="63" t="s">
        <v>505</v>
      </c>
      <c r="M28" s="70">
        <v>5.6000000000000001E-2</v>
      </c>
      <c r="O28" s="63" t="s">
        <v>506</v>
      </c>
      <c r="R28" s="228">
        <f ca="1">SUM('Area Matrix'!D57,'Area Matrix'!H57,'Area Matrix'!L57,'Area Matrix'!P57,'Area Matrix'!T57)</f>
        <v>196526159.85869721</v>
      </c>
    </row>
    <row r="29" spans="1:18">
      <c r="B29" s="63" t="s">
        <v>493</v>
      </c>
      <c r="G29" s="67">
        <f>PV(R13/12,R14*12,-H58/R18/12,0)</f>
        <v>17614065.918951448</v>
      </c>
      <c r="O29" s="78" t="s">
        <v>507</v>
      </c>
      <c r="P29" s="78"/>
      <c r="Q29" s="78"/>
      <c r="R29" s="80">
        <v>0</v>
      </c>
    </row>
    <row r="30" spans="1:18">
      <c r="O30" s="63" t="s">
        <v>453</v>
      </c>
      <c r="R30" s="67">
        <f ca="1">SUM(R28:R29)</f>
        <v>196526159.85869721</v>
      </c>
    </row>
    <row r="32" spans="1:18">
      <c r="A32" s="63" t="s">
        <v>472</v>
      </c>
      <c r="B32" s="262" t="s">
        <v>508</v>
      </c>
      <c r="C32" s="262"/>
      <c r="D32" s="262"/>
      <c r="E32" s="262"/>
      <c r="F32" s="262"/>
      <c r="G32" s="263">
        <f>F32+1</f>
        <v>1</v>
      </c>
      <c r="H32" s="263">
        <f>G32+1</f>
        <v>2</v>
      </c>
      <c r="I32" s="263">
        <f t="shared" ref="I32:R32" si="0">H32+1</f>
        <v>3</v>
      </c>
      <c r="J32" s="263">
        <f t="shared" si="0"/>
        <v>4</v>
      </c>
      <c r="K32" s="263">
        <f t="shared" si="0"/>
        <v>5</v>
      </c>
      <c r="L32" s="263">
        <f t="shared" si="0"/>
        <v>6</v>
      </c>
      <c r="M32" s="263">
        <f t="shared" si="0"/>
        <v>7</v>
      </c>
      <c r="N32" s="263">
        <f t="shared" si="0"/>
        <v>8</v>
      </c>
      <c r="O32" s="263">
        <f t="shared" si="0"/>
        <v>9</v>
      </c>
      <c r="P32" s="263">
        <f t="shared" si="0"/>
        <v>10</v>
      </c>
      <c r="Q32" s="263">
        <f t="shared" si="0"/>
        <v>11</v>
      </c>
      <c r="R32" s="263">
        <f t="shared" si="0"/>
        <v>12</v>
      </c>
    </row>
    <row r="33" spans="1:37">
      <c r="B33" s="66" t="s">
        <v>509</v>
      </c>
    </row>
    <row r="34" spans="1:37">
      <c r="B34" s="63" t="s">
        <v>510</v>
      </c>
      <c r="G34" s="67">
        <f t="shared" ref="G34:R34" si="1">IF(G32&gt;=$M$18,$M$13*$M$19*$G$17*($L$32),$M$13*$G$17*(G$32*$M$19))</f>
        <v>8120</v>
      </c>
      <c r="H34" s="67">
        <f t="shared" si="1"/>
        <v>16240</v>
      </c>
      <c r="I34" s="67">
        <f t="shared" si="1"/>
        <v>24360</v>
      </c>
      <c r="J34" s="67">
        <f t="shared" si="1"/>
        <v>32480</v>
      </c>
      <c r="K34" s="67">
        <f t="shared" si="1"/>
        <v>40600</v>
      </c>
      <c r="L34" s="67">
        <f t="shared" si="1"/>
        <v>48720</v>
      </c>
      <c r="M34" s="67">
        <f t="shared" si="1"/>
        <v>48720</v>
      </c>
      <c r="N34" s="67">
        <f t="shared" si="1"/>
        <v>48720</v>
      </c>
      <c r="O34" s="67">
        <f t="shared" si="1"/>
        <v>48720</v>
      </c>
      <c r="P34" s="67">
        <f t="shared" si="1"/>
        <v>48720</v>
      </c>
      <c r="Q34" s="67">
        <f t="shared" si="1"/>
        <v>48720</v>
      </c>
      <c r="R34" s="67">
        <f t="shared" si="1"/>
        <v>48720</v>
      </c>
      <c r="S34" s="73"/>
      <c r="T34" s="73"/>
    </row>
    <row r="35" spans="1:37">
      <c r="B35" s="63" t="s">
        <v>511</v>
      </c>
      <c r="G35" s="67">
        <f t="shared" ref="G35:R35" si="2">IF(G32&gt;=$M$18,$M$14*$M$19*$G$18*($L$32),$M$14*$G$18*(G$32*$M$19))</f>
        <v>21750</v>
      </c>
      <c r="H35" s="67">
        <f t="shared" si="2"/>
        <v>43500</v>
      </c>
      <c r="I35" s="67">
        <f t="shared" si="2"/>
        <v>65250</v>
      </c>
      <c r="J35" s="67">
        <f t="shared" si="2"/>
        <v>87000</v>
      </c>
      <c r="K35" s="67">
        <f t="shared" si="2"/>
        <v>108750</v>
      </c>
      <c r="L35" s="67">
        <f t="shared" si="2"/>
        <v>130500</v>
      </c>
      <c r="M35" s="67">
        <f t="shared" si="2"/>
        <v>130500</v>
      </c>
      <c r="N35" s="67">
        <f t="shared" si="2"/>
        <v>130500</v>
      </c>
      <c r="O35" s="67">
        <f t="shared" si="2"/>
        <v>130500</v>
      </c>
      <c r="P35" s="67">
        <f t="shared" si="2"/>
        <v>130500</v>
      </c>
      <c r="Q35" s="67">
        <f t="shared" si="2"/>
        <v>130500</v>
      </c>
      <c r="R35" s="67">
        <f t="shared" si="2"/>
        <v>130500</v>
      </c>
    </row>
    <row r="36" spans="1:37">
      <c r="B36" s="63" t="s">
        <v>512</v>
      </c>
      <c r="G36" s="67">
        <f t="shared" ref="G36:R36" si="3">IF(G32&gt;=$M$18,$M$15*$M$19*$G$19*($L$32),$M$15*$G$19*(G$32*$M$19))</f>
        <v>14790</v>
      </c>
      <c r="H36" s="67">
        <f t="shared" si="3"/>
        <v>29580</v>
      </c>
      <c r="I36" s="67">
        <f t="shared" si="3"/>
        <v>44370</v>
      </c>
      <c r="J36" s="67">
        <f t="shared" si="3"/>
        <v>59160</v>
      </c>
      <c r="K36" s="67">
        <f t="shared" si="3"/>
        <v>73950</v>
      </c>
      <c r="L36" s="67">
        <f t="shared" si="3"/>
        <v>88740</v>
      </c>
      <c r="M36" s="67">
        <f t="shared" si="3"/>
        <v>88740</v>
      </c>
      <c r="N36" s="67">
        <f t="shared" si="3"/>
        <v>88740</v>
      </c>
      <c r="O36" s="67">
        <f t="shared" si="3"/>
        <v>88740</v>
      </c>
      <c r="P36" s="67">
        <f t="shared" si="3"/>
        <v>88740</v>
      </c>
      <c r="Q36" s="67">
        <f t="shared" si="3"/>
        <v>88740</v>
      </c>
      <c r="R36" s="67">
        <f t="shared" si="3"/>
        <v>88740</v>
      </c>
    </row>
    <row r="37" spans="1:37">
      <c r="B37" s="84" t="s">
        <v>16</v>
      </c>
      <c r="C37" s="84"/>
      <c r="D37" s="84"/>
      <c r="E37" s="84"/>
      <c r="F37" s="84"/>
      <c r="G37" s="85">
        <f>SUM(G34:G36)</f>
        <v>44660</v>
      </c>
      <c r="H37" s="85">
        <f t="shared" ref="H37:R37" si="4">SUM(H34:H36)</f>
        <v>89320</v>
      </c>
      <c r="I37" s="85">
        <f t="shared" si="4"/>
        <v>133980</v>
      </c>
      <c r="J37" s="85">
        <f t="shared" si="4"/>
        <v>178640</v>
      </c>
      <c r="K37" s="85">
        <f t="shared" si="4"/>
        <v>223300</v>
      </c>
      <c r="L37" s="85">
        <f t="shared" si="4"/>
        <v>267960</v>
      </c>
      <c r="M37" s="85">
        <f t="shared" si="4"/>
        <v>267960</v>
      </c>
      <c r="N37" s="85">
        <f t="shared" si="4"/>
        <v>267960</v>
      </c>
      <c r="O37" s="85">
        <f t="shared" si="4"/>
        <v>267960</v>
      </c>
      <c r="P37" s="85">
        <f t="shared" si="4"/>
        <v>267960</v>
      </c>
      <c r="Q37" s="85">
        <f t="shared" si="4"/>
        <v>267960</v>
      </c>
      <c r="R37" s="85">
        <f t="shared" si="4"/>
        <v>267960</v>
      </c>
    </row>
    <row r="39" spans="1:37">
      <c r="A39" s="63" t="s">
        <v>472</v>
      </c>
      <c r="B39" s="262" t="s">
        <v>513</v>
      </c>
      <c r="C39" s="262"/>
      <c r="D39" s="262"/>
      <c r="E39" s="262"/>
      <c r="F39" s="262"/>
      <c r="G39" s="263">
        <v>0</v>
      </c>
      <c r="H39" s="263">
        <f>G39+1</f>
        <v>1</v>
      </c>
      <c r="I39" s="263">
        <f t="shared" ref="I39:AK39" si="5">H39+1</f>
        <v>2</v>
      </c>
      <c r="J39" s="263">
        <f t="shared" si="5"/>
        <v>3</v>
      </c>
      <c r="K39" s="263">
        <f t="shared" si="5"/>
        <v>4</v>
      </c>
      <c r="L39" s="263">
        <f t="shared" si="5"/>
        <v>5</v>
      </c>
      <c r="M39" s="263">
        <f t="shared" si="5"/>
        <v>6</v>
      </c>
      <c r="N39" s="263">
        <f t="shared" si="5"/>
        <v>7</v>
      </c>
      <c r="O39" s="263">
        <f t="shared" si="5"/>
        <v>8</v>
      </c>
      <c r="P39" s="263">
        <f t="shared" si="5"/>
        <v>9</v>
      </c>
      <c r="Q39" s="263">
        <f t="shared" si="5"/>
        <v>10</v>
      </c>
      <c r="R39" s="263">
        <f t="shared" si="5"/>
        <v>11</v>
      </c>
      <c r="S39" s="86">
        <f t="shared" si="5"/>
        <v>12</v>
      </c>
      <c r="T39" s="86">
        <f t="shared" si="5"/>
        <v>13</v>
      </c>
      <c r="U39" s="86">
        <f t="shared" si="5"/>
        <v>14</v>
      </c>
      <c r="V39" s="86">
        <f t="shared" si="5"/>
        <v>15</v>
      </c>
      <c r="W39" s="86">
        <f t="shared" si="5"/>
        <v>16</v>
      </c>
      <c r="X39" s="86">
        <f t="shared" si="5"/>
        <v>17</v>
      </c>
      <c r="Y39" s="86">
        <f t="shared" si="5"/>
        <v>18</v>
      </c>
      <c r="Z39" s="86">
        <f t="shared" si="5"/>
        <v>19</v>
      </c>
      <c r="AA39" s="86">
        <f t="shared" si="5"/>
        <v>20</v>
      </c>
      <c r="AB39" s="86">
        <f t="shared" si="5"/>
        <v>21</v>
      </c>
      <c r="AC39" s="86">
        <f t="shared" si="5"/>
        <v>22</v>
      </c>
      <c r="AD39" s="86">
        <f t="shared" si="5"/>
        <v>23</v>
      </c>
      <c r="AE39" s="86">
        <f t="shared" si="5"/>
        <v>24</v>
      </c>
      <c r="AF39" s="86">
        <f t="shared" si="5"/>
        <v>25</v>
      </c>
      <c r="AG39" s="86">
        <f t="shared" si="5"/>
        <v>26</v>
      </c>
      <c r="AH39" s="86">
        <f t="shared" si="5"/>
        <v>27</v>
      </c>
      <c r="AI39" s="86">
        <f t="shared" si="5"/>
        <v>28</v>
      </c>
      <c r="AJ39" s="86">
        <f t="shared" si="5"/>
        <v>29</v>
      </c>
      <c r="AK39" s="86">
        <f t="shared" si="5"/>
        <v>30</v>
      </c>
    </row>
    <row r="40" spans="1:37">
      <c r="B40" s="87" t="s">
        <v>412</v>
      </c>
      <c r="C40" s="87"/>
      <c r="D40" s="87"/>
      <c r="E40" s="87"/>
      <c r="F40" s="87"/>
      <c r="G40" s="87"/>
      <c r="H40" s="88">
        <f t="shared" ref="H40:AK40" si="6">1-$M$16</f>
        <v>0.95</v>
      </c>
      <c r="I40" s="88">
        <f t="shared" si="6"/>
        <v>0.95</v>
      </c>
      <c r="J40" s="88">
        <f t="shared" si="6"/>
        <v>0.95</v>
      </c>
      <c r="K40" s="88">
        <f t="shared" si="6"/>
        <v>0.95</v>
      </c>
      <c r="L40" s="88">
        <f t="shared" si="6"/>
        <v>0.95</v>
      </c>
      <c r="M40" s="88">
        <f t="shared" si="6"/>
        <v>0.95</v>
      </c>
      <c r="N40" s="88">
        <f t="shared" si="6"/>
        <v>0.95</v>
      </c>
      <c r="O40" s="88">
        <f t="shared" si="6"/>
        <v>0.95</v>
      </c>
      <c r="P40" s="88">
        <f t="shared" si="6"/>
        <v>0.95</v>
      </c>
      <c r="Q40" s="88">
        <f t="shared" si="6"/>
        <v>0.95</v>
      </c>
      <c r="R40" s="88">
        <f t="shared" si="6"/>
        <v>0.95</v>
      </c>
      <c r="S40" s="88">
        <f t="shared" si="6"/>
        <v>0.95</v>
      </c>
      <c r="T40" s="88">
        <f t="shared" si="6"/>
        <v>0.95</v>
      </c>
      <c r="U40" s="88">
        <f t="shared" si="6"/>
        <v>0.95</v>
      </c>
      <c r="V40" s="88">
        <f t="shared" si="6"/>
        <v>0.95</v>
      </c>
      <c r="W40" s="88">
        <f t="shared" si="6"/>
        <v>0.95</v>
      </c>
      <c r="X40" s="88">
        <f t="shared" si="6"/>
        <v>0.95</v>
      </c>
      <c r="Y40" s="88">
        <f t="shared" si="6"/>
        <v>0.95</v>
      </c>
      <c r="Z40" s="88">
        <f t="shared" si="6"/>
        <v>0.95</v>
      </c>
      <c r="AA40" s="88">
        <f t="shared" si="6"/>
        <v>0.95</v>
      </c>
      <c r="AB40" s="88">
        <f t="shared" si="6"/>
        <v>0.95</v>
      </c>
      <c r="AC40" s="88">
        <f t="shared" si="6"/>
        <v>0.95</v>
      </c>
      <c r="AD40" s="88">
        <f t="shared" si="6"/>
        <v>0.95</v>
      </c>
      <c r="AE40" s="88">
        <f t="shared" si="6"/>
        <v>0.95</v>
      </c>
      <c r="AF40" s="88">
        <f t="shared" si="6"/>
        <v>0.95</v>
      </c>
      <c r="AG40" s="88">
        <f t="shared" si="6"/>
        <v>0.95</v>
      </c>
      <c r="AH40" s="88">
        <f t="shared" si="6"/>
        <v>0.95</v>
      </c>
      <c r="AI40" s="88">
        <f t="shared" si="6"/>
        <v>0.95</v>
      </c>
      <c r="AJ40" s="88">
        <f t="shared" si="6"/>
        <v>0.95</v>
      </c>
      <c r="AK40" s="88">
        <f t="shared" si="6"/>
        <v>0.95</v>
      </c>
    </row>
    <row r="41" spans="1:37"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</row>
    <row r="42" spans="1:37">
      <c r="B42" s="63" t="s">
        <v>506</v>
      </c>
      <c r="G42" s="67">
        <f ca="1">-R30</f>
        <v>-196526159.85869721</v>
      </c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</row>
    <row r="44" spans="1:37">
      <c r="B44" s="87" t="s">
        <v>514</v>
      </c>
      <c r="G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</row>
    <row r="45" spans="1:37">
      <c r="B45" s="63" t="s">
        <v>515</v>
      </c>
      <c r="G45" s="67"/>
      <c r="H45" s="67">
        <f>SUM(G34:R34)</f>
        <v>462840</v>
      </c>
      <c r="I45" s="67">
        <f t="shared" ref="I45:AK45" si="7">$G$12*$G$17*$M$13*(1+$M$17)^H39*12</f>
        <v>1997159.2483730162</v>
      </c>
      <c r="J45" s="67">
        <f t="shared" si="7"/>
        <v>2057074.0258242069</v>
      </c>
      <c r="K45" s="67">
        <f t="shared" si="7"/>
        <v>2118786.2465989334</v>
      </c>
      <c r="L45" s="67">
        <f t="shared" si="7"/>
        <v>2182349.8339969008</v>
      </c>
      <c r="M45" s="67">
        <f t="shared" si="7"/>
        <v>2247820.3290168075</v>
      </c>
      <c r="N45" s="67">
        <f t="shared" si="7"/>
        <v>2315254.9388873121</v>
      </c>
      <c r="O45" s="67">
        <f t="shared" si="7"/>
        <v>2384712.5870539318</v>
      </c>
      <c r="P45" s="67">
        <f t="shared" si="7"/>
        <v>2456253.9646655493</v>
      </c>
      <c r="Q45" s="67">
        <f t="shared" si="7"/>
        <v>2529941.5836055158</v>
      </c>
      <c r="R45" s="67">
        <f t="shared" si="7"/>
        <v>2605839.8311136812</v>
      </c>
      <c r="S45" s="67">
        <f t="shared" si="7"/>
        <v>2684015.0260470919</v>
      </c>
      <c r="T45" s="67">
        <f t="shared" si="7"/>
        <v>2764535.4768285044</v>
      </c>
      <c r="U45" s="67">
        <f t="shared" si="7"/>
        <v>2847471.5411333591</v>
      </c>
      <c r="V45" s="67">
        <f t="shared" si="7"/>
        <v>2932895.6873673601</v>
      </c>
      <c r="W45" s="67">
        <f t="shared" si="7"/>
        <v>3020882.5579883815</v>
      </c>
      <c r="X45" s="67">
        <f t="shared" si="7"/>
        <v>3111509.0347280325</v>
      </c>
      <c r="Y45" s="67">
        <f t="shared" si="7"/>
        <v>3204854.3057698738</v>
      </c>
      <c r="Z45" s="67">
        <f t="shared" si="7"/>
        <v>3300999.9349429691</v>
      </c>
      <c r="AA45" s="67">
        <f t="shared" si="7"/>
        <v>3400029.9329912583</v>
      </c>
      <c r="AB45" s="67">
        <f t="shared" si="7"/>
        <v>3502030.8309809957</v>
      </c>
      <c r="AC45" s="67">
        <f t="shared" si="7"/>
        <v>3607091.7559104254</v>
      </c>
      <c r="AD45" s="67">
        <f t="shared" si="7"/>
        <v>3715304.5085877385</v>
      </c>
      <c r="AE45" s="67">
        <f t="shared" si="7"/>
        <v>3826763.643845371</v>
      </c>
      <c r="AF45" s="67">
        <f t="shared" si="7"/>
        <v>3941566.5531607317</v>
      </c>
      <c r="AG45" s="67">
        <f t="shared" si="7"/>
        <v>4059813.5497555537</v>
      </c>
      <c r="AH45" s="67">
        <f t="shared" si="7"/>
        <v>4181607.9562482205</v>
      </c>
      <c r="AI45" s="67">
        <f t="shared" si="7"/>
        <v>4307056.1949356673</v>
      </c>
      <c r="AJ45" s="67">
        <f t="shared" si="7"/>
        <v>4436267.8807837367</v>
      </c>
      <c r="AK45" s="67">
        <f t="shared" si="7"/>
        <v>4569355.9172072485</v>
      </c>
    </row>
    <row r="46" spans="1:37">
      <c r="B46" s="63" t="s">
        <v>516</v>
      </c>
      <c r="G46" s="67"/>
      <c r="H46" s="67">
        <f>SUM(G35:R35)</f>
        <v>1239750</v>
      </c>
      <c r="I46" s="67">
        <f t="shared" ref="I46:AK46" si="8">$G$12*$G$18*$M$14*(1+$M$17)^H39*12</f>
        <v>5349533.7009991501</v>
      </c>
      <c r="J46" s="67">
        <f t="shared" si="8"/>
        <v>5510019.7120291246</v>
      </c>
      <c r="K46" s="67">
        <f t="shared" si="8"/>
        <v>5675320.3033899982</v>
      </c>
      <c r="L46" s="67">
        <f t="shared" si="8"/>
        <v>5845579.9124916978</v>
      </c>
      <c r="M46" s="67">
        <f t="shared" si="8"/>
        <v>6020947.3098664489</v>
      </c>
      <c r="N46" s="67">
        <f t="shared" si="8"/>
        <v>6201575.7291624434</v>
      </c>
      <c r="O46" s="67">
        <f t="shared" si="8"/>
        <v>6387623.0010373164</v>
      </c>
      <c r="P46" s="67">
        <f t="shared" si="8"/>
        <v>6579251.6910684351</v>
      </c>
      <c r="Q46" s="67">
        <f t="shared" si="8"/>
        <v>6776629.241800488</v>
      </c>
      <c r="R46" s="67">
        <f t="shared" si="8"/>
        <v>6979928.1190545028</v>
      </c>
      <c r="S46" s="67">
        <f t="shared" si="8"/>
        <v>7189325.9626261387</v>
      </c>
      <c r="T46" s="67">
        <f t="shared" si="8"/>
        <v>7405005.7415049216</v>
      </c>
      <c r="U46" s="67">
        <f t="shared" si="8"/>
        <v>7627155.9137500692</v>
      </c>
      <c r="V46" s="67">
        <f t="shared" si="8"/>
        <v>7855970.5911625717</v>
      </c>
      <c r="W46" s="67">
        <f t="shared" si="8"/>
        <v>8091649.7088974491</v>
      </c>
      <c r="X46" s="67">
        <f t="shared" si="8"/>
        <v>8334399.2001643712</v>
      </c>
      <c r="Y46" s="67">
        <f t="shared" si="8"/>
        <v>8584431.1761693023</v>
      </c>
      <c r="Z46" s="67">
        <f t="shared" si="8"/>
        <v>8841964.1114543825</v>
      </c>
      <c r="AA46" s="67">
        <f t="shared" si="8"/>
        <v>9107223.034798013</v>
      </c>
      <c r="AB46" s="67">
        <f t="shared" si="8"/>
        <v>9380439.7258419525</v>
      </c>
      <c r="AC46" s="67">
        <f t="shared" si="8"/>
        <v>9661852.9176172093</v>
      </c>
      <c r="AD46" s="67">
        <f t="shared" si="8"/>
        <v>9951708.5051457267</v>
      </c>
      <c r="AE46" s="67">
        <f t="shared" si="8"/>
        <v>10250259.7603001</v>
      </c>
      <c r="AF46" s="67">
        <f t="shared" si="8"/>
        <v>10557767.553109102</v>
      </c>
      <c r="AG46" s="67">
        <f t="shared" si="8"/>
        <v>10874500.579702374</v>
      </c>
      <c r="AH46" s="67">
        <f t="shared" si="8"/>
        <v>11200735.597093448</v>
      </c>
      <c r="AI46" s="67">
        <f t="shared" si="8"/>
        <v>11536757.66500625</v>
      </c>
      <c r="AJ46" s="67">
        <f t="shared" si="8"/>
        <v>11882860.394956436</v>
      </c>
      <c r="AK46" s="67">
        <f t="shared" si="8"/>
        <v>12239346.206805129</v>
      </c>
    </row>
    <row r="47" spans="1:37">
      <c r="B47" s="63" t="s">
        <v>517</v>
      </c>
      <c r="G47" s="67"/>
      <c r="H47" s="67">
        <f>SUM(G36:R36)</f>
        <v>843030</v>
      </c>
      <c r="I47" s="67">
        <f t="shared" ref="I47:AK47" si="9">$G$12*$G$19*$M$15*(1+$M$17)^H39*12</f>
        <v>3637682.9166794219</v>
      </c>
      <c r="J47" s="67">
        <f t="shared" si="9"/>
        <v>3746813.4041798045</v>
      </c>
      <c r="K47" s="67">
        <f t="shared" si="9"/>
        <v>3859217.8063051989</v>
      </c>
      <c r="L47" s="67">
        <f t="shared" si="9"/>
        <v>3974994.3404943543</v>
      </c>
      <c r="M47" s="67">
        <f t="shared" si="9"/>
        <v>4094244.1707091844</v>
      </c>
      <c r="N47" s="67">
        <f t="shared" si="9"/>
        <v>4217071.4958304605</v>
      </c>
      <c r="O47" s="67">
        <f t="shared" si="9"/>
        <v>4343583.6407053741</v>
      </c>
      <c r="P47" s="67">
        <f t="shared" si="9"/>
        <v>4473891.1499265349</v>
      </c>
      <c r="Q47" s="67">
        <f t="shared" si="9"/>
        <v>4608107.8844243316</v>
      </c>
      <c r="R47" s="67">
        <f t="shared" si="9"/>
        <v>4746351.1209570616</v>
      </c>
      <c r="S47" s="67">
        <f t="shared" si="9"/>
        <v>4888741.6545857731</v>
      </c>
      <c r="T47" s="67">
        <f t="shared" si="9"/>
        <v>5035403.9042233462</v>
      </c>
      <c r="U47" s="67">
        <f t="shared" si="9"/>
        <v>5186466.0213500457</v>
      </c>
      <c r="V47" s="67">
        <f t="shared" si="9"/>
        <v>5342060.0019905474</v>
      </c>
      <c r="W47" s="67">
        <f t="shared" si="9"/>
        <v>5502321.8020502646</v>
      </c>
      <c r="X47" s="67">
        <f t="shared" si="9"/>
        <v>5667391.456111772</v>
      </c>
      <c r="Y47" s="67">
        <f t="shared" si="9"/>
        <v>5837413.1997951241</v>
      </c>
      <c r="Z47" s="67">
        <f t="shared" si="9"/>
        <v>6012535.595788978</v>
      </c>
      <c r="AA47" s="67">
        <f t="shared" si="9"/>
        <v>6192911.6636626478</v>
      </c>
      <c r="AB47" s="67">
        <f t="shared" si="9"/>
        <v>6378699.0135725271</v>
      </c>
      <c r="AC47" s="67">
        <f t="shared" si="9"/>
        <v>6570059.983979702</v>
      </c>
      <c r="AD47" s="67">
        <f t="shared" si="9"/>
        <v>6767161.7834990937</v>
      </c>
      <c r="AE47" s="67">
        <f t="shared" si="9"/>
        <v>6970176.6370040663</v>
      </c>
      <c r="AF47" s="67">
        <f t="shared" si="9"/>
        <v>7179281.9361141874</v>
      </c>
      <c r="AG47" s="67">
        <f t="shared" si="9"/>
        <v>7394660.394197613</v>
      </c>
      <c r="AH47" s="67">
        <f t="shared" si="9"/>
        <v>7616500.2060235422</v>
      </c>
      <c r="AI47" s="67">
        <f t="shared" si="9"/>
        <v>7844995.2122042477</v>
      </c>
      <c r="AJ47" s="67">
        <f t="shared" si="9"/>
        <v>8080345.0685703764</v>
      </c>
      <c r="AK47" s="67">
        <f t="shared" si="9"/>
        <v>8322755.420627486</v>
      </c>
    </row>
    <row r="48" spans="1:37">
      <c r="B48" s="87" t="s">
        <v>518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</row>
    <row r="49" spans="2:37">
      <c r="B49" s="63" t="s">
        <v>519</v>
      </c>
      <c r="G49" s="67"/>
      <c r="H49" s="67">
        <f t="shared" ref="H49:AK49" si="10">$G$20*$M$24*(1+$M$17)^G39</f>
        <v>738662.69010560005</v>
      </c>
      <c r="I49" s="67">
        <f t="shared" si="10"/>
        <v>760822.57080876804</v>
      </c>
      <c r="J49" s="67">
        <f t="shared" si="10"/>
        <v>783647.24793303106</v>
      </c>
      <c r="K49" s="67">
        <f t="shared" si="10"/>
        <v>807156.66537102207</v>
      </c>
      <c r="L49" s="67">
        <f t="shared" si="10"/>
        <v>831371.36533215258</v>
      </c>
      <c r="M49" s="67">
        <f t="shared" si="10"/>
        <v>856312.50629211718</v>
      </c>
      <c r="N49" s="67">
        <f t="shared" si="10"/>
        <v>882001.88148088066</v>
      </c>
      <c r="O49" s="67">
        <f t="shared" si="10"/>
        <v>908461.9379253072</v>
      </c>
      <c r="P49" s="67">
        <f t="shared" si="10"/>
        <v>935715.79606306634</v>
      </c>
      <c r="Q49" s="67">
        <f t="shared" si="10"/>
        <v>963787.26994495827</v>
      </c>
      <c r="R49" s="67">
        <f t="shared" si="10"/>
        <v>992700.88804330712</v>
      </c>
      <c r="S49" s="67">
        <f t="shared" si="10"/>
        <v>1022481.9146846064</v>
      </c>
      <c r="T49" s="67">
        <f t="shared" si="10"/>
        <v>1053156.3721251443</v>
      </c>
      <c r="U49" s="67">
        <f t="shared" si="10"/>
        <v>1084751.0632888987</v>
      </c>
      <c r="V49" s="67">
        <f t="shared" si="10"/>
        <v>1117293.5951875658</v>
      </c>
      <c r="W49" s="67">
        <f t="shared" si="10"/>
        <v>1150812.4030431928</v>
      </c>
      <c r="X49" s="67">
        <f t="shared" si="10"/>
        <v>1185336.7751344882</v>
      </c>
      <c r="Y49" s="67">
        <f t="shared" si="10"/>
        <v>1220896.8783885229</v>
      </c>
      <c r="Z49" s="67">
        <f t="shared" si="10"/>
        <v>1257523.7847401786</v>
      </c>
      <c r="AA49" s="67">
        <f t="shared" si="10"/>
        <v>1295249.4982823839</v>
      </c>
      <c r="AB49" s="67">
        <f t="shared" si="10"/>
        <v>1334106.9832308555</v>
      </c>
      <c r="AC49" s="67">
        <f t="shared" si="10"/>
        <v>1374130.1927277809</v>
      </c>
      <c r="AD49" s="67">
        <f t="shared" si="10"/>
        <v>1415354.0985096146</v>
      </c>
      <c r="AE49" s="67">
        <f t="shared" si="10"/>
        <v>1457814.7214649031</v>
      </c>
      <c r="AF49" s="67">
        <f t="shared" si="10"/>
        <v>1501549.1631088499</v>
      </c>
      <c r="AG49" s="67">
        <f t="shared" si="10"/>
        <v>1546595.6380021153</v>
      </c>
      <c r="AH49" s="67">
        <f t="shared" si="10"/>
        <v>1592993.5071421792</v>
      </c>
      <c r="AI49" s="67">
        <f t="shared" si="10"/>
        <v>1640783.3123564443</v>
      </c>
      <c r="AJ49" s="67">
        <f t="shared" si="10"/>
        <v>1690006.8117271375</v>
      </c>
      <c r="AK49" s="67">
        <f t="shared" si="10"/>
        <v>1740707.0160789515</v>
      </c>
    </row>
    <row r="50" spans="2:37">
      <c r="B50" s="84" t="s">
        <v>520</v>
      </c>
      <c r="C50" s="84"/>
      <c r="D50" s="84"/>
      <c r="E50" s="84"/>
      <c r="F50" s="84"/>
      <c r="G50" s="85"/>
      <c r="H50" s="85">
        <f t="shared" ref="H50:R50" si="11">SUM(H43:H49)</f>
        <v>3284282.6901056003</v>
      </c>
      <c r="I50" s="85">
        <f t="shared" si="11"/>
        <v>11745198.436860356</v>
      </c>
      <c r="J50" s="85">
        <f t="shared" si="11"/>
        <v>12097554.389966168</v>
      </c>
      <c r="K50" s="85">
        <f t="shared" si="11"/>
        <v>12460481.02166515</v>
      </c>
      <c r="L50" s="85">
        <f t="shared" si="11"/>
        <v>12834295.452315107</v>
      </c>
      <c r="M50" s="85">
        <f t="shared" si="11"/>
        <v>13219324.315884558</v>
      </c>
      <c r="N50" s="85">
        <f t="shared" si="11"/>
        <v>13615904.045361098</v>
      </c>
      <c r="O50" s="85">
        <f t="shared" si="11"/>
        <v>14024381.166721931</v>
      </c>
      <c r="P50" s="85">
        <f t="shared" si="11"/>
        <v>14445112.601723585</v>
      </c>
      <c r="Q50" s="85">
        <f t="shared" si="11"/>
        <v>14878465.979775295</v>
      </c>
      <c r="R50" s="85">
        <f t="shared" si="11"/>
        <v>15324819.959168553</v>
      </c>
      <c r="S50" s="85">
        <f t="shared" ref="S50:AK50" si="12">SUM(S43:S49)</f>
        <v>15784564.55794361</v>
      </c>
      <c r="T50" s="85">
        <f t="shared" si="12"/>
        <v>16258101.494681917</v>
      </c>
      <c r="U50" s="85">
        <f t="shared" si="12"/>
        <v>16745844.539522374</v>
      </c>
      <c r="V50" s="85">
        <f t="shared" si="12"/>
        <v>17248219.875708044</v>
      </c>
      <c r="W50" s="85">
        <f t="shared" si="12"/>
        <v>17765666.471979287</v>
      </c>
      <c r="X50" s="85">
        <f t="shared" si="12"/>
        <v>18298636.466138665</v>
      </c>
      <c r="Y50" s="85">
        <f t="shared" si="12"/>
        <v>18847595.560122825</v>
      </c>
      <c r="Z50" s="85">
        <f t="shared" si="12"/>
        <v>19413023.426926509</v>
      </c>
      <c r="AA50" s="85">
        <f t="shared" si="12"/>
        <v>19995414.129734304</v>
      </c>
      <c r="AB50" s="85">
        <f t="shared" si="12"/>
        <v>20595276.553626332</v>
      </c>
      <c r="AC50" s="85">
        <f t="shared" si="12"/>
        <v>21213134.850235119</v>
      </c>
      <c r="AD50" s="85">
        <f t="shared" si="12"/>
        <v>21849528.895742174</v>
      </c>
      <c r="AE50" s="85">
        <f t="shared" si="12"/>
        <v>22505014.76261444</v>
      </c>
      <c r="AF50" s="85">
        <f t="shared" si="12"/>
        <v>23180165.205492869</v>
      </c>
      <c r="AG50" s="85">
        <f t="shared" si="12"/>
        <v>23875570.161657657</v>
      </c>
      <c r="AH50" s="85">
        <f t="shared" si="12"/>
        <v>24591837.266507387</v>
      </c>
      <c r="AI50" s="85">
        <f t="shared" si="12"/>
        <v>25329592.384502612</v>
      </c>
      <c r="AJ50" s="85">
        <f t="shared" si="12"/>
        <v>26089480.156037685</v>
      </c>
      <c r="AK50" s="85">
        <f t="shared" si="12"/>
        <v>26872164.560718816</v>
      </c>
    </row>
    <row r="51" spans="2:37"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</row>
    <row r="52" spans="2:37">
      <c r="B52" s="78" t="s">
        <v>521</v>
      </c>
      <c r="C52" s="78"/>
      <c r="D52" s="78"/>
      <c r="E52" s="78"/>
      <c r="F52" s="78"/>
      <c r="G52" s="78"/>
      <c r="H52" s="80">
        <f t="shared" ref="H52:R52" si="13">-(1-H40)*SUM(H45:H47)</f>
        <v>-127281.00000000012</v>
      </c>
      <c r="I52" s="80">
        <f t="shared" si="13"/>
        <v>-549218.7933025799</v>
      </c>
      <c r="J52" s="80">
        <f t="shared" si="13"/>
        <v>-565695.35710165731</v>
      </c>
      <c r="K52" s="80">
        <f t="shared" si="13"/>
        <v>-582666.21781470696</v>
      </c>
      <c r="L52" s="80">
        <f t="shared" si="13"/>
        <v>-600146.2043491482</v>
      </c>
      <c r="M52" s="80">
        <f t="shared" si="13"/>
        <v>-618150.5904796226</v>
      </c>
      <c r="N52" s="80">
        <f t="shared" si="13"/>
        <v>-636695.1081940115</v>
      </c>
      <c r="O52" s="80">
        <f t="shared" si="13"/>
        <v>-655795.96143983176</v>
      </c>
      <c r="P52" s="80">
        <f t="shared" si="13"/>
        <v>-675469.84028302657</v>
      </c>
      <c r="Q52" s="80">
        <f t="shared" si="13"/>
        <v>-695733.93549151742</v>
      </c>
      <c r="R52" s="80">
        <f t="shared" si="13"/>
        <v>-716605.953556263</v>
      </c>
      <c r="S52" s="80">
        <f t="shared" ref="S52:AK52" si="14">-(1-S40)*SUM(S45:S47)</f>
        <v>-738104.13216295082</v>
      </c>
      <c r="T52" s="80">
        <f t="shared" si="14"/>
        <v>-760247.25612783933</v>
      </c>
      <c r="U52" s="80">
        <f t="shared" si="14"/>
        <v>-783054.67381167447</v>
      </c>
      <c r="V52" s="80">
        <f t="shared" si="14"/>
        <v>-806546.31402602466</v>
      </c>
      <c r="W52" s="80">
        <f t="shared" si="14"/>
        <v>-830742.70344680548</v>
      </c>
      <c r="X52" s="80">
        <f t="shared" si="14"/>
        <v>-855664.9845502096</v>
      </c>
      <c r="Y52" s="80">
        <f t="shared" si="14"/>
        <v>-881334.9340867158</v>
      </c>
      <c r="Z52" s="80">
        <f t="shared" si="14"/>
        <v>-907774.98210931721</v>
      </c>
      <c r="AA52" s="80">
        <f t="shared" si="14"/>
        <v>-935008.23157259682</v>
      </c>
      <c r="AB52" s="80">
        <f t="shared" si="14"/>
        <v>-963058.47851977474</v>
      </c>
      <c r="AC52" s="80">
        <f t="shared" si="14"/>
        <v>-991950.23287536774</v>
      </c>
      <c r="AD52" s="80">
        <f t="shared" si="14"/>
        <v>-1021708.739861629</v>
      </c>
      <c r="AE52" s="80">
        <f t="shared" si="14"/>
        <v>-1052360.0020574778</v>
      </c>
      <c r="AF52" s="80">
        <f t="shared" si="14"/>
        <v>-1083930.802119202</v>
      </c>
      <c r="AG52" s="80">
        <f t="shared" si="14"/>
        <v>-1116448.7261827781</v>
      </c>
      <c r="AH52" s="80">
        <f t="shared" si="14"/>
        <v>-1149942.1879682615</v>
      </c>
      <c r="AI52" s="80">
        <f t="shared" si="14"/>
        <v>-1184440.4536073094</v>
      </c>
      <c r="AJ52" s="80">
        <f t="shared" si="14"/>
        <v>-1219973.6672155284</v>
      </c>
      <c r="AK52" s="80">
        <f t="shared" si="14"/>
        <v>-1256572.8772319942</v>
      </c>
    </row>
    <row r="53" spans="2:37">
      <c r="B53" s="63" t="s">
        <v>522</v>
      </c>
      <c r="H53" s="67">
        <f>SUM(H50:H52)</f>
        <v>3157001.6901056003</v>
      </c>
      <c r="I53" s="67">
        <f t="shared" ref="I53:AK53" si="15">SUM(I50:I52)</f>
        <v>11195979.643557776</v>
      </c>
      <c r="J53" s="67">
        <f t="shared" si="15"/>
        <v>11531859.032864511</v>
      </c>
      <c r="K53" s="67">
        <f t="shared" si="15"/>
        <v>11877814.803850444</v>
      </c>
      <c r="L53" s="67">
        <f t="shared" si="15"/>
        <v>12234149.247965958</v>
      </c>
      <c r="M53" s="67">
        <f t="shared" si="15"/>
        <v>12601173.725404937</v>
      </c>
      <c r="N53" s="67">
        <f t="shared" si="15"/>
        <v>12979208.937167086</v>
      </c>
      <c r="O53" s="67">
        <f t="shared" si="15"/>
        <v>13368585.2052821</v>
      </c>
      <c r="P53" s="67">
        <f t="shared" si="15"/>
        <v>13769642.761440558</v>
      </c>
      <c r="Q53" s="67">
        <f t="shared" si="15"/>
        <v>14182732.044283777</v>
      </c>
      <c r="R53" s="67">
        <f t="shared" si="15"/>
        <v>14608214.00561229</v>
      </c>
      <c r="S53" s="67">
        <f t="shared" si="15"/>
        <v>15046460.42578066</v>
      </c>
      <c r="T53" s="67">
        <f t="shared" si="15"/>
        <v>15497854.238554077</v>
      </c>
      <c r="U53" s="67">
        <f t="shared" si="15"/>
        <v>15962789.8657107</v>
      </c>
      <c r="V53" s="67">
        <f t="shared" si="15"/>
        <v>16441673.561682019</v>
      </c>
      <c r="W53" s="67">
        <f t="shared" si="15"/>
        <v>16934923.768532481</v>
      </c>
      <c r="X53" s="67">
        <f t="shared" si="15"/>
        <v>17442971.481588457</v>
      </c>
      <c r="Y53" s="67">
        <f t="shared" si="15"/>
        <v>17966260.626036108</v>
      </c>
      <c r="Z53" s="67">
        <f t="shared" si="15"/>
        <v>18505248.444817193</v>
      </c>
      <c r="AA53" s="67">
        <f t="shared" si="15"/>
        <v>19060405.898161706</v>
      </c>
      <c r="AB53" s="67">
        <f t="shared" si="15"/>
        <v>19632218.075106557</v>
      </c>
      <c r="AC53" s="67">
        <f t="shared" si="15"/>
        <v>20221184.61735975</v>
      </c>
      <c r="AD53" s="67">
        <f t="shared" si="15"/>
        <v>20827820.155880544</v>
      </c>
      <c r="AE53" s="67">
        <f t="shared" si="15"/>
        <v>21452654.760556962</v>
      </c>
      <c r="AF53" s="67">
        <f t="shared" si="15"/>
        <v>22096234.403373666</v>
      </c>
      <c r="AG53" s="67">
        <f t="shared" si="15"/>
        <v>22759121.43547488</v>
      </c>
      <c r="AH53" s="67">
        <f t="shared" si="15"/>
        <v>23441895.078539126</v>
      </c>
      <c r="AI53" s="67">
        <f t="shared" si="15"/>
        <v>24145151.930895302</v>
      </c>
      <c r="AJ53" s="67">
        <f t="shared" si="15"/>
        <v>24869506.488822155</v>
      </c>
      <c r="AK53" s="67">
        <f t="shared" si="15"/>
        <v>25615591.683486823</v>
      </c>
    </row>
    <row r="55" spans="2:37">
      <c r="B55" s="63" t="s">
        <v>413</v>
      </c>
      <c r="H55" s="67">
        <f>-($M$20*H53)*(1+$M$21)^G39</f>
        <v>-947100.50703168008</v>
      </c>
      <c r="I55" s="67">
        <f t="shared" ref="I55:AK55" si="16">-($M$20*I53)*(1+$M$21)^H39</f>
        <v>-3425969.770928679</v>
      </c>
      <c r="J55" s="67">
        <f t="shared" si="16"/>
        <v>-3599323.841337671</v>
      </c>
      <c r="K55" s="67">
        <f t="shared" si="16"/>
        <v>-3781449.6277093566</v>
      </c>
      <c r="L55" s="67">
        <f t="shared" si="16"/>
        <v>-3972790.9788714498</v>
      </c>
      <c r="M55" s="67">
        <f t="shared" si="16"/>
        <v>-4173814.2024023458</v>
      </c>
      <c r="N55" s="67">
        <f t="shared" si="16"/>
        <v>-4385009.2010439048</v>
      </c>
      <c r="O55" s="67">
        <f t="shared" si="16"/>
        <v>-4606890.6666167257</v>
      </c>
      <c r="P55" s="67">
        <f t="shared" si="16"/>
        <v>-4839999.3343475312</v>
      </c>
      <c r="Q55" s="67">
        <f t="shared" si="16"/>
        <v>-5084903.3006655164</v>
      </c>
      <c r="R55" s="67">
        <f t="shared" si="16"/>
        <v>-5342199.4076791927</v>
      </c>
      <c r="S55" s="67">
        <f t="shared" si="16"/>
        <v>-5612514.6977077583</v>
      </c>
      <c r="T55" s="67">
        <f t="shared" si="16"/>
        <v>-5896507.9414117718</v>
      </c>
      <c r="U55" s="67">
        <f t="shared" si="16"/>
        <v>-6194871.2432472063</v>
      </c>
      <c r="V55" s="67">
        <f t="shared" si="16"/>
        <v>-6508331.7281555152</v>
      </c>
      <c r="W55" s="67">
        <f t="shared" si="16"/>
        <v>-6837653.3136001835</v>
      </c>
      <c r="X55" s="67">
        <f t="shared" si="16"/>
        <v>-7183638.5712683536</v>
      </c>
      <c r="Y55" s="67">
        <f t="shared" si="16"/>
        <v>-7547130.6829745313</v>
      </c>
      <c r="Z55" s="67">
        <f t="shared" si="16"/>
        <v>-7929015.4955330435</v>
      </c>
      <c r="AA55" s="67">
        <f t="shared" si="16"/>
        <v>-8330223.6796070132</v>
      </c>
      <c r="AB55" s="67">
        <f t="shared" si="16"/>
        <v>-8751732.9977951292</v>
      </c>
      <c r="AC55" s="67">
        <f t="shared" si="16"/>
        <v>-9194570.6874835603</v>
      </c>
      <c r="AD55" s="67">
        <f t="shared" si="16"/>
        <v>-9659815.9642702304</v>
      </c>
      <c r="AE55" s="67">
        <f t="shared" si="16"/>
        <v>-10148602.652062304</v>
      </c>
      <c r="AF55" s="67">
        <f t="shared" si="16"/>
        <v>-10662121.946256652</v>
      </c>
      <c r="AG55" s="67">
        <f t="shared" si="16"/>
        <v>-11201625.316737242</v>
      </c>
      <c r="AH55" s="67">
        <f t="shared" si="16"/>
        <v>-11768427.557764148</v>
      </c>
      <c r="AI55" s="67">
        <f t="shared" si="16"/>
        <v>-12363909.992187012</v>
      </c>
      <c r="AJ55" s="67">
        <f t="shared" si="16"/>
        <v>-12989523.837791676</v>
      </c>
      <c r="AK55" s="67">
        <f t="shared" si="16"/>
        <v>-13646793.743983932</v>
      </c>
    </row>
    <row r="56" spans="2:37">
      <c r="B56" s="63" t="s">
        <v>728</v>
      </c>
      <c r="H56" s="67">
        <f>-($M$22*H50)*(1+$M$21)^G39</f>
        <v>-197056.96140633602</v>
      </c>
      <c r="I56" s="67">
        <f t="shared" ref="I56:AK56" si="17">-($M$22*I50)*(1+$M$21)^H39</f>
        <v>-718806.14433585375</v>
      </c>
      <c r="J56" s="67">
        <f t="shared" si="17"/>
        <v>-755177.73523924802</v>
      </c>
      <c r="K56" s="67">
        <f t="shared" si="17"/>
        <v>-793389.72864235367</v>
      </c>
      <c r="L56" s="67">
        <f t="shared" si="17"/>
        <v>-833535.24891165702</v>
      </c>
      <c r="M56" s="67">
        <f t="shared" si="17"/>
        <v>-875712.13250658684</v>
      </c>
      <c r="N56" s="67">
        <f t="shared" si="17"/>
        <v>-920023.16641142033</v>
      </c>
      <c r="O56" s="67">
        <f t="shared" si="17"/>
        <v>-966576.33863183798</v>
      </c>
      <c r="P56" s="67">
        <f t="shared" si="17"/>
        <v>-1015485.1013666088</v>
      </c>
      <c r="Q56" s="67">
        <f t="shared" si="17"/>
        <v>-1066868.6474957594</v>
      </c>
      <c r="R56" s="67">
        <f t="shared" si="17"/>
        <v>-1120852.2010590448</v>
      </c>
      <c r="S56" s="67">
        <f t="shared" si="17"/>
        <v>-1177567.3224326323</v>
      </c>
      <c r="T56" s="67">
        <f t="shared" si="17"/>
        <v>-1237152.2289477235</v>
      </c>
      <c r="U56" s="67">
        <f t="shared" si="17"/>
        <v>-1299752.1317324783</v>
      </c>
      <c r="V56" s="67">
        <f t="shared" si="17"/>
        <v>-1365519.5895981418</v>
      </c>
      <c r="W56" s="67">
        <f t="shared" si="17"/>
        <v>-1434614.8808318074</v>
      </c>
      <c r="X56" s="67">
        <f t="shared" si="17"/>
        <v>-1507206.3938018971</v>
      </c>
      <c r="Y56" s="67">
        <f t="shared" si="17"/>
        <v>-1583471.0373282733</v>
      </c>
      <c r="Z56" s="67">
        <f t="shared" si="17"/>
        <v>-1663594.6718170836</v>
      </c>
      <c r="AA56" s="67">
        <f t="shared" si="17"/>
        <v>-1747772.5622110278</v>
      </c>
      <c r="AB56" s="67">
        <f t="shared" si="17"/>
        <v>-1836209.8538589061</v>
      </c>
      <c r="AC56" s="67">
        <f t="shared" si="17"/>
        <v>-1929122.0724641664</v>
      </c>
      <c r="AD56" s="67">
        <f t="shared" si="17"/>
        <v>-2026735.6493308535</v>
      </c>
      <c r="AE56" s="67">
        <f t="shared" si="17"/>
        <v>-2129288.473186994</v>
      </c>
      <c r="AF56" s="67">
        <f t="shared" si="17"/>
        <v>-2237030.4699302558</v>
      </c>
      <c r="AG56" s="67">
        <f t="shared" si="17"/>
        <v>-2350224.2117087268</v>
      </c>
      <c r="AH56" s="67">
        <f t="shared" si="17"/>
        <v>-2469145.5568211889</v>
      </c>
      <c r="AI56" s="67">
        <f t="shared" si="17"/>
        <v>-2594084.3219963405</v>
      </c>
      <c r="AJ56" s="67">
        <f t="shared" si="17"/>
        <v>-2725344.988689356</v>
      </c>
      <c r="AK56" s="67">
        <f t="shared" si="17"/>
        <v>-2863247.4451170368</v>
      </c>
    </row>
    <row r="57" spans="2:37">
      <c r="B57" s="63" t="s">
        <v>523</v>
      </c>
      <c r="H57" s="67">
        <f t="shared" ref="H57:AK57" si="18">-H53*$M$23</f>
        <v>-63140.033802112004</v>
      </c>
      <c r="I57" s="67">
        <f t="shared" si="18"/>
        <v>-223919.59287115553</v>
      </c>
      <c r="J57" s="67">
        <f t="shared" si="18"/>
        <v>-230637.18065729021</v>
      </c>
      <c r="K57" s="67">
        <f t="shared" si="18"/>
        <v>-237556.29607700888</v>
      </c>
      <c r="L57" s="67">
        <f t="shared" si="18"/>
        <v>-244682.98495931918</v>
      </c>
      <c r="M57" s="67">
        <f t="shared" si="18"/>
        <v>-252023.47450809873</v>
      </c>
      <c r="N57" s="67">
        <f t="shared" si="18"/>
        <v>-259584.17874334173</v>
      </c>
      <c r="O57" s="67">
        <f t="shared" si="18"/>
        <v>-267371.70410564198</v>
      </c>
      <c r="P57" s="67">
        <f t="shared" si="18"/>
        <v>-275392.85522881115</v>
      </c>
      <c r="Q57" s="67">
        <f t="shared" si="18"/>
        <v>-283654.64088567556</v>
      </c>
      <c r="R57" s="67">
        <f t="shared" si="18"/>
        <v>-292164.28011224582</v>
      </c>
      <c r="S57" s="67">
        <f t="shared" si="18"/>
        <v>-300929.20851561322</v>
      </c>
      <c r="T57" s="67">
        <f t="shared" si="18"/>
        <v>-309957.08477108157</v>
      </c>
      <c r="U57" s="67">
        <f t="shared" si="18"/>
        <v>-319255.797314214</v>
      </c>
      <c r="V57" s="67">
        <f t="shared" si="18"/>
        <v>-328833.47123364039</v>
      </c>
      <c r="W57" s="67">
        <f t="shared" si="18"/>
        <v>-338698.47537064966</v>
      </c>
      <c r="X57" s="67">
        <f t="shared" si="18"/>
        <v>-348859.42963176913</v>
      </c>
      <c r="Y57" s="67">
        <f t="shared" si="18"/>
        <v>-359325.21252072218</v>
      </c>
      <c r="Z57" s="67">
        <f t="shared" si="18"/>
        <v>-370104.96889634384</v>
      </c>
      <c r="AA57" s="67">
        <f t="shared" si="18"/>
        <v>-381208.11796323414</v>
      </c>
      <c r="AB57" s="67">
        <f t="shared" si="18"/>
        <v>-392644.36150213116</v>
      </c>
      <c r="AC57" s="67">
        <f t="shared" si="18"/>
        <v>-404423.692347195</v>
      </c>
      <c r="AD57" s="67">
        <f t="shared" si="18"/>
        <v>-416556.4031176109</v>
      </c>
      <c r="AE57" s="67">
        <f t="shared" si="18"/>
        <v>-429053.09521113924</v>
      </c>
      <c r="AF57" s="67">
        <f t="shared" si="18"/>
        <v>-441924.68806747335</v>
      </c>
      <c r="AG57" s="67">
        <f t="shared" si="18"/>
        <v>-455182.42870949762</v>
      </c>
      <c r="AH57" s="67">
        <f t="shared" si="18"/>
        <v>-468837.90157078253</v>
      </c>
      <c r="AI57" s="67">
        <f t="shared" si="18"/>
        <v>-482903.03861790604</v>
      </c>
      <c r="AJ57" s="67">
        <f t="shared" si="18"/>
        <v>-497390.12977644312</v>
      </c>
      <c r="AK57" s="67">
        <f t="shared" si="18"/>
        <v>-512311.83366973646</v>
      </c>
    </row>
    <row r="58" spans="2:37">
      <c r="B58" s="84" t="s">
        <v>524</v>
      </c>
      <c r="C58" s="84"/>
      <c r="D58" s="84"/>
      <c r="E58" s="84"/>
      <c r="F58" s="84"/>
      <c r="G58" s="84"/>
      <c r="H58" s="85">
        <f t="shared" ref="H58:R58" si="19">SUM(H53:H57)</f>
        <v>1949704.1878654722</v>
      </c>
      <c r="I58" s="85">
        <f t="shared" si="19"/>
        <v>6827284.1354220873</v>
      </c>
      <c r="J58" s="85">
        <f t="shared" si="19"/>
        <v>6946720.2756303018</v>
      </c>
      <c r="K58" s="85">
        <f t="shared" si="19"/>
        <v>7065419.1514217239</v>
      </c>
      <c r="L58" s="85">
        <f t="shared" si="19"/>
        <v>7183140.0352235315</v>
      </c>
      <c r="M58" s="85">
        <f t="shared" si="19"/>
        <v>7299623.915987906</v>
      </c>
      <c r="N58" s="85">
        <f t="shared" si="19"/>
        <v>7414592.3909684196</v>
      </c>
      <c r="O58" s="85">
        <f t="shared" si="19"/>
        <v>7527746.4959278936</v>
      </c>
      <c r="P58" s="85">
        <f t="shared" si="19"/>
        <v>7638765.4704976073</v>
      </c>
      <c r="Q58" s="85">
        <f t="shared" si="19"/>
        <v>7747305.4552368261</v>
      </c>
      <c r="R58" s="85">
        <f t="shared" si="19"/>
        <v>7852998.1167618055</v>
      </c>
      <c r="S58" s="85">
        <f t="shared" ref="S58:AK58" si="20">SUM(S53:S57)</f>
        <v>7955449.1971246544</v>
      </c>
      <c r="T58" s="85">
        <f t="shared" si="20"/>
        <v>8054236.9834234994</v>
      </c>
      <c r="U58" s="85">
        <f t="shared" si="20"/>
        <v>8148910.6934168022</v>
      </c>
      <c r="V58" s="85">
        <f t="shared" si="20"/>
        <v>8238988.7726947209</v>
      </c>
      <c r="W58" s="85">
        <f t="shared" si="20"/>
        <v>8323957.0987298414</v>
      </c>
      <c r="X58" s="85">
        <f t="shared" si="20"/>
        <v>8403267.0868864357</v>
      </c>
      <c r="Y58" s="85">
        <f t="shared" si="20"/>
        <v>8476333.6932125799</v>
      </c>
      <c r="Z58" s="85">
        <f t="shared" si="20"/>
        <v>8542533.3085707221</v>
      </c>
      <c r="AA58" s="85">
        <f t="shared" si="20"/>
        <v>8601201.538380431</v>
      </c>
      <c r="AB58" s="85">
        <f t="shared" si="20"/>
        <v>8651630.86195039</v>
      </c>
      <c r="AC58" s="85">
        <f t="shared" si="20"/>
        <v>8693068.1650648285</v>
      </c>
      <c r="AD58" s="85">
        <f t="shared" si="20"/>
        <v>8724712.1391618494</v>
      </c>
      <c r="AE58" s="85">
        <f t="shared" si="20"/>
        <v>8745710.5400965251</v>
      </c>
      <c r="AF58" s="85">
        <f t="shared" si="20"/>
        <v>8755157.2991192844</v>
      </c>
      <c r="AG58" s="85">
        <f t="shared" si="20"/>
        <v>8752089.478319414</v>
      </c>
      <c r="AH58" s="85">
        <f t="shared" si="20"/>
        <v>8735484.0623830073</v>
      </c>
      <c r="AI58" s="85">
        <f t="shared" si="20"/>
        <v>8704254.5780940447</v>
      </c>
      <c r="AJ58" s="85">
        <f t="shared" si="20"/>
        <v>8657247.532564681</v>
      </c>
      <c r="AK58" s="85">
        <f t="shared" si="20"/>
        <v>8593238.6607161164</v>
      </c>
    </row>
    <row r="60" spans="2:37">
      <c r="B60" s="63" t="s">
        <v>525</v>
      </c>
      <c r="H60" s="67">
        <f t="shared" ref="H60:AK60" si="21">IF(H39=$M$26,I58/$M$28,0)</f>
        <v>0</v>
      </c>
      <c r="I60" s="67">
        <f t="shared" si="21"/>
        <v>0</v>
      </c>
      <c r="J60" s="67">
        <f t="shared" si="21"/>
        <v>0</v>
      </c>
      <c r="K60" s="67">
        <f t="shared" si="21"/>
        <v>0</v>
      </c>
      <c r="L60" s="67">
        <f t="shared" si="21"/>
        <v>0</v>
      </c>
      <c r="M60" s="67">
        <f t="shared" si="21"/>
        <v>0</v>
      </c>
      <c r="N60" s="67">
        <f t="shared" si="21"/>
        <v>0</v>
      </c>
      <c r="O60" s="67">
        <f t="shared" si="21"/>
        <v>0</v>
      </c>
      <c r="P60" s="67">
        <f t="shared" si="21"/>
        <v>0</v>
      </c>
      <c r="Q60" s="67">
        <f t="shared" si="21"/>
        <v>140232109.22788939</v>
      </c>
      <c r="R60" s="67">
        <f t="shared" si="21"/>
        <v>0</v>
      </c>
      <c r="S60" s="67">
        <f t="shared" si="21"/>
        <v>0</v>
      </c>
      <c r="T60" s="67">
        <f t="shared" si="21"/>
        <v>0</v>
      </c>
      <c r="U60" s="67">
        <f t="shared" si="21"/>
        <v>0</v>
      </c>
      <c r="V60" s="67">
        <f t="shared" si="21"/>
        <v>0</v>
      </c>
      <c r="W60" s="67">
        <f t="shared" si="21"/>
        <v>0</v>
      </c>
      <c r="X60" s="67">
        <f t="shared" si="21"/>
        <v>0</v>
      </c>
      <c r="Y60" s="67">
        <f t="shared" si="21"/>
        <v>0</v>
      </c>
      <c r="Z60" s="67">
        <f t="shared" si="21"/>
        <v>0</v>
      </c>
      <c r="AA60" s="67">
        <f t="shared" si="21"/>
        <v>0</v>
      </c>
      <c r="AB60" s="67">
        <f t="shared" si="21"/>
        <v>0</v>
      </c>
      <c r="AC60" s="67">
        <f t="shared" si="21"/>
        <v>0</v>
      </c>
      <c r="AD60" s="67">
        <f t="shared" si="21"/>
        <v>0</v>
      </c>
      <c r="AE60" s="67">
        <f t="shared" si="21"/>
        <v>0</v>
      </c>
      <c r="AF60" s="67">
        <f t="shared" si="21"/>
        <v>0</v>
      </c>
      <c r="AG60" s="67">
        <f t="shared" si="21"/>
        <v>0</v>
      </c>
      <c r="AH60" s="67">
        <f t="shared" si="21"/>
        <v>0</v>
      </c>
      <c r="AI60" s="67">
        <f t="shared" si="21"/>
        <v>0</v>
      </c>
      <c r="AJ60" s="67">
        <f t="shared" si="21"/>
        <v>0</v>
      </c>
      <c r="AK60" s="67">
        <f t="shared" si="21"/>
        <v>0</v>
      </c>
    </row>
    <row r="61" spans="2:37">
      <c r="B61" s="78" t="s">
        <v>393</v>
      </c>
      <c r="C61" s="78"/>
      <c r="D61" s="78"/>
      <c r="E61" s="78"/>
      <c r="F61" s="78"/>
      <c r="G61" s="78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</row>
    <row r="62" spans="2:37" s="109" customFormat="1">
      <c r="B62" s="109" t="s">
        <v>526</v>
      </c>
      <c r="G62" s="110">
        <f t="shared" ref="G62:AK62" ca="1" si="22">IF(G39&lt;=$M$26,SUM(G58,G60:G61,G42),0)</f>
        <v>-196526159.85869721</v>
      </c>
      <c r="H62" s="110">
        <f t="shared" si="22"/>
        <v>1949704.1878654722</v>
      </c>
      <c r="I62" s="110">
        <f t="shared" si="22"/>
        <v>6827284.1354220873</v>
      </c>
      <c r="J62" s="110">
        <f t="shared" si="22"/>
        <v>6946720.2756303018</v>
      </c>
      <c r="K62" s="110">
        <f t="shared" si="22"/>
        <v>7065419.1514217239</v>
      </c>
      <c r="L62" s="110">
        <f t="shared" si="22"/>
        <v>7183140.0352235315</v>
      </c>
      <c r="M62" s="110">
        <f t="shared" si="22"/>
        <v>7299623.915987906</v>
      </c>
      <c r="N62" s="110">
        <f t="shared" si="22"/>
        <v>7414592.3909684196</v>
      </c>
      <c r="O62" s="110">
        <f t="shared" si="22"/>
        <v>7527746.4959278936</v>
      </c>
      <c r="P62" s="110">
        <f t="shared" si="22"/>
        <v>7638765.4704976073</v>
      </c>
      <c r="Q62" s="110">
        <f t="shared" si="22"/>
        <v>147979414.68312621</v>
      </c>
      <c r="R62" s="110">
        <f t="shared" si="22"/>
        <v>0</v>
      </c>
      <c r="S62" s="110">
        <f t="shared" si="22"/>
        <v>0</v>
      </c>
      <c r="T62" s="110">
        <f t="shared" si="22"/>
        <v>0</v>
      </c>
      <c r="U62" s="110">
        <f t="shared" si="22"/>
        <v>0</v>
      </c>
      <c r="V62" s="110">
        <f t="shared" si="22"/>
        <v>0</v>
      </c>
      <c r="W62" s="110">
        <f t="shared" si="22"/>
        <v>0</v>
      </c>
      <c r="X62" s="110">
        <f t="shared" si="22"/>
        <v>0</v>
      </c>
      <c r="Y62" s="110">
        <f t="shared" si="22"/>
        <v>0</v>
      </c>
      <c r="Z62" s="110">
        <f t="shared" si="22"/>
        <v>0</v>
      </c>
      <c r="AA62" s="110">
        <f t="shared" si="22"/>
        <v>0</v>
      </c>
      <c r="AB62" s="110">
        <f t="shared" si="22"/>
        <v>0</v>
      </c>
      <c r="AC62" s="110">
        <f t="shared" si="22"/>
        <v>0</v>
      </c>
      <c r="AD62" s="110">
        <f t="shared" si="22"/>
        <v>0</v>
      </c>
      <c r="AE62" s="110">
        <f t="shared" si="22"/>
        <v>0</v>
      </c>
      <c r="AF62" s="110">
        <f t="shared" si="22"/>
        <v>0</v>
      </c>
      <c r="AG62" s="110">
        <f t="shared" si="22"/>
        <v>0</v>
      </c>
      <c r="AH62" s="110">
        <f t="shared" si="22"/>
        <v>0</v>
      </c>
      <c r="AI62" s="110">
        <f t="shared" si="22"/>
        <v>0</v>
      </c>
      <c r="AJ62" s="110">
        <f t="shared" si="22"/>
        <v>0</v>
      </c>
      <c r="AK62" s="110">
        <f t="shared" si="22"/>
        <v>0</v>
      </c>
    </row>
    <row r="63" spans="2:37" ht="16.2" thickBot="1"/>
    <row r="64" spans="2:37">
      <c r="B64" s="89" t="s">
        <v>527</v>
      </c>
      <c r="C64" s="90"/>
      <c r="D64" s="90"/>
      <c r="E64" s="90"/>
      <c r="F64" s="91">
        <f ca="1">SUM(G62:R62)</f>
        <v>11306250.883373946</v>
      </c>
    </row>
    <row r="65" spans="2:37">
      <c r="B65" s="92" t="s">
        <v>528</v>
      </c>
      <c r="F65" s="93">
        <f>NPV(M27,H62:R62)</f>
        <v>108612864.03002153</v>
      </c>
    </row>
    <row r="66" spans="2:37">
      <c r="B66" s="92" t="s">
        <v>529</v>
      </c>
      <c r="F66" s="93">
        <f ca="1">F65+G62</f>
        <v>-87913295.828675672</v>
      </c>
      <c r="G66" s="73"/>
    </row>
    <row r="67" spans="2:37">
      <c r="B67" s="92" t="s">
        <v>530</v>
      </c>
      <c r="F67" s="94">
        <f ca="1">IRR(G62:R62)</f>
        <v>6.4755770642084265E-3</v>
      </c>
    </row>
    <row r="68" spans="2:37" ht="16.2" thickBot="1">
      <c r="B68" s="95" t="s">
        <v>531</v>
      </c>
      <c r="C68" s="96"/>
      <c r="D68" s="96"/>
      <c r="E68" s="96"/>
      <c r="F68" s="97">
        <f ca="1">(F64/-G62)+1</f>
        <v>1.0575305134517623</v>
      </c>
    </row>
    <row r="70" spans="2:37">
      <c r="B70" s="63" t="s">
        <v>532</v>
      </c>
      <c r="G70" s="67">
        <f ca="1">R24</f>
        <v>137568311.90108803</v>
      </c>
    </row>
    <row r="71" spans="2:37">
      <c r="B71" s="63" t="s">
        <v>533</v>
      </c>
      <c r="H71" s="73">
        <f t="shared" ref="H71:AK71" si="23">IF(H39=$M$26,FV($R$13/12,H39*12,$R$15,$R$12,0),0)</f>
        <v>0</v>
      </c>
      <c r="I71" s="73">
        <f t="shared" si="23"/>
        <v>0</v>
      </c>
      <c r="J71" s="73">
        <f t="shared" si="23"/>
        <v>0</v>
      </c>
      <c r="K71" s="73">
        <f t="shared" si="23"/>
        <v>0</v>
      </c>
      <c r="L71" s="73">
        <f t="shared" si="23"/>
        <v>0</v>
      </c>
      <c r="M71" s="73">
        <f t="shared" si="23"/>
        <v>0</v>
      </c>
      <c r="N71" s="73">
        <f t="shared" si="23"/>
        <v>0</v>
      </c>
      <c r="O71" s="67">
        <f t="shared" si="23"/>
        <v>0</v>
      </c>
      <c r="P71" s="73">
        <f t="shared" si="23"/>
        <v>0</v>
      </c>
      <c r="Q71" s="67">
        <f t="shared" ca="1" si="23"/>
        <v>-87514231.099562675</v>
      </c>
      <c r="R71" s="73">
        <f t="shared" si="23"/>
        <v>0</v>
      </c>
      <c r="S71" s="73">
        <f t="shared" si="23"/>
        <v>0</v>
      </c>
      <c r="T71" s="73">
        <f t="shared" si="23"/>
        <v>0</v>
      </c>
      <c r="U71" s="73">
        <f t="shared" si="23"/>
        <v>0</v>
      </c>
      <c r="V71" s="73">
        <f t="shared" si="23"/>
        <v>0</v>
      </c>
      <c r="W71" s="73">
        <f t="shared" si="23"/>
        <v>0</v>
      </c>
      <c r="X71" s="73">
        <f t="shared" si="23"/>
        <v>0</v>
      </c>
      <c r="Y71" s="73">
        <f t="shared" si="23"/>
        <v>0</v>
      </c>
      <c r="Z71" s="73">
        <f t="shared" si="23"/>
        <v>0</v>
      </c>
      <c r="AA71" s="73">
        <f t="shared" si="23"/>
        <v>0</v>
      </c>
      <c r="AB71" s="73">
        <f t="shared" si="23"/>
        <v>0</v>
      </c>
      <c r="AC71" s="73">
        <f t="shared" si="23"/>
        <v>0</v>
      </c>
      <c r="AD71" s="73">
        <f t="shared" si="23"/>
        <v>0</v>
      </c>
      <c r="AE71" s="73">
        <f t="shared" si="23"/>
        <v>0</v>
      </c>
      <c r="AF71" s="73">
        <f t="shared" si="23"/>
        <v>0</v>
      </c>
      <c r="AG71" s="73">
        <f t="shared" si="23"/>
        <v>0</v>
      </c>
      <c r="AH71" s="73">
        <f t="shared" si="23"/>
        <v>0</v>
      </c>
      <c r="AI71" s="73">
        <f t="shared" si="23"/>
        <v>0</v>
      </c>
      <c r="AJ71" s="73">
        <f t="shared" si="23"/>
        <v>0</v>
      </c>
      <c r="AK71" s="73">
        <f t="shared" si="23"/>
        <v>0</v>
      </c>
    </row>
    <row r="72" spans="2:37">
      <c r="B72" s="63" t="s">
        <v>534</v>
      </c>
      <c r="H72" s="67">
        <f t="shared" ref="H72:AK72" ca="1" si="24">IF(H39&lt;=$M$26,$R$15*12,0)</f>
        <v>-11449219.30918015</v>
      </c>
      <c r="I72" s="67">
        <f t="shared" ca="1" si="24"/>
        <v>-11449219.30918015</v>
      </c>
      <c r="J72" s="67">
        <f t="shared" ca="1" si="24"/>
        <v>-11449219.30918015</v>
      </c>
      <c r="K72" s="67">
        <f t="shared" ca="1" si="24"/>
        <v>-11449219.30918015</v>
      </c>
      <c r="L72" s="67">
        <f t="shared" ca="1" si="24"/>
        <v>-11449219.30918015</v>
      </c>
      <c r="M72" s="67">
        <f t="shared" ca="1" si="24"/>
        <v>-11449219.30918015</v>
      </c>
      <c r="N72" s="67">
        <f t="shared" ca="1" si="24"/>
        <v>-11449219.30918015</v>
      </c>
      <c r="O72" s="67">
        <f t="shared" ca="1" si="24"/>
        <v>-11449219.30918015</v>
      </c>
      <c r="P72" s="67">
        <f t="shared" ca="1" si="24"/>
        <v>-11449219.30918015</v>
      </c>
      <c r="Q72" s="67">
        <f t="shared" ca="1" si="24"/>
        <v>-11449219.30918015</v>
      </c>
      <c r="R72" s="67">
        <f t="shared" si="24"/>
        <v>0</v>
      </c>
      <c r="S72" s="67">
        <f t="shared" si="24"/>
        <v>0</v>
      </c>
      <c r="T72" s="67">
        <f t="shared" si="24"/>
        <v>0</v>
      </c>
      <c r="U72" s="67">
        <f t="shared" si="24"/>
        <v>0</v>
      </c>
      <c r="V72" s="67">
        <f t="shared" si="24"/>
        <v>0</v>
      </c>
      <c r="W72" s="67">
        <f t="shared" si="24"/>
        <v>0</v>
      </c>
      <c r="X72" s="67">
        <f t="shared" si="24"/>
        <v>0</v>
      </c>
      <c r="Y72" s="67">
        <f t="shared" si="24"/>
        <v>0</v>
      </c>
      <c r="Z72" s="67">
        <f t="shared" si="24"/>
        <v>0</v>
      </c>
      <c r="AA72" s="67">
        <f t="shared" si="24"/>
        <v>0</v>
      </c>
      <c r="AB72" s="67">
        <f t="shared" si="24"/>
        <v>0</v>
      </c>
      <c r="AC72" s="67">
        <f t="shared" si="24"/>
        <v>0</v>
      </c>
      <c r="AD72" s="67">
        <f t="shared" si="24"/>
        <v>0</v>
      </c>
      <c r="AE72" s="67">
        <f t="shared" si="24"/>
        <v>0</v>
      </c>
      <c r="AF72" s="67">
        <f t="shared" si="24"/>
        <v>0</v>
      </c>
      <c r="AG72" s="67">
        <f t="shared" si="24"/>
        <v>0</v>
      </c>
      <c r="AH72" s="67">
        <f t="shared" si="24"/>
        <v>0</v>
      </c>
      <c r="AI72" s="67">
        <f t="shared" si="24"/>
        <v>0</v>
      </c>
      <c r="AJ72" s="67">
        <f t="shared" si="24"/>
        <v>0</v>
      </c>
      <c r="AK72" s="67">
        <f t="shared" si="24"/>
        <v>0</v>
      </c>
    </row>
    <row r="74" spans="2:37" s="109" customFormat="1">
      <c r="B74" s="109" t="s">
        <v>535</v>
      </c>
      <c r="G74" s="110">
        <f ca="1">SUM(G62,G70:G72)</f>
        <v>-58957847.957609177</v>
      </c>
      <c r="H74" s="110">
        <f t="shared" ref="H74:AK74" ca="1" si="25">SUM(H62,H70:H72)</f>
        <v>-9499515.1213146783</v>
      </c>
      <c r="I74" s="110">
        <f t="shared" ca="1" si="25"/>
        <v>-4621935.1737580625</v>
      </c>
      <c r="J74" s="110">
        <f t="shared" ca="1" si="25"/>
        <v>-4502499.033549848</v>
      </c>
      <c r="K74" s="110">
        <f t="shared" ca="1" si="25"/>
        <v>-4383800.1577584259</v>
      </c>
      <c r="L74" s="110">
        <f t="shared" ca="1" si="25"/>
        <v>-4266079.2739566183</v>
      </c>
      <c r="M74" s="110">
        <f t="shared" ca="1" si="25"/>
        <v>-4149595.3931922438</v>
      </c>
      <c r="N74" s="110">
        <f t="shared" ca="1" si="25"/>
        <v>-4034626.9182117302</v>
      </c>
      <c r="O74" s="110">
        <f t="shared" ca="1" si="25"/>
        <v>-3921472.8132522563</v>
      </c>
      <c r="P74" s="110">
        <f t="shared" ca="1" si="25"/>
        <v>-3810453.8386825426</v>
      </c>
      <c r="Q74" s="110">
        <f t="shared" ca="1" si="25"/>
        <v>49015964.274383388</v>
      </c>
      <c r="R74" s="110">
        <f t="shared" si="25"/>
        <v>0</v>
      </c>
      <c r="S74" s="110">
        <f t="shared" si="25"/>
        <v>0</v>
      </c>
      <c r="T74" s="110">
        <f t="shared" si="25"/>
        <v>0</v>
      </c>
      <c r="U74" s="110">
        <f t="shared" si="25"/>
        <v>0</v>
      </c>
      <c r="V74" s="110">
        <f t="shared" si="25"/>
        <v>0</v>
      </c>
      <c r="W74" s="110">
        <f t="shared" si="25"/>
        <v>0</v>
      </c>
      <c r="X74" s="110">
        <f t="shared" si="25"/>
        <v>0</v>
      </c>
      <c r="Y74" s="110">
        <f t="shared" si="25"/>
        <v>0</v>
      </c>
      <c r="Z74" s="110">
        <f t="shared" si="25"/>
        <v>0</v>
      </c>
      <c r="AA74" s="110">
        <f t="shared" si="25"/>
        <v>0</v>
      </c>
      <c r="AB74" s="110">
        <f t="shared" si="25"/>
        <v>0</v>
      </c>
      <c r="AC74" s="110">
        <f t="shared" si="25"/>
        <v>0</v>
      </c>
      <c r="AD74" s="110">
        <f t="shared" si="25"/>
        <v>0</v>
      </c>
      <c r="AE74" s="110">
        <f t="shared" si="25"/>
        <v>0</v>
      </c>
      <c r="AF74" s="110">
        <f t="shared" si="25"/>
        <v>0</v>
      </c>
      <c r="AG74" s="110">
        <f t="shared" si="25"/>
        <v>0</v>
      </c>
      <c r="AH74" s="110">
        <f t="shared" si="25"/>
        <v>0</v>
      </c>
      <c r="AI74" s="110">
        <f t="shared" si="25"/>
        <v>0</v>
      </c>
      <c r="AJ74" s="110">
        <f t="shared" si="25"/>
        <v>0</v>
      </c>
      <c r="AK74" s="110">
        <f t="shared" si="25"/>
        <v>0</v>
      </c>
    </row>
    <row r="75" spans="2:37" ht="16.2" thickBot="1"/>
    <row r="76" spans="2:37">
      <c r="B76" s="89" t="str">
        <f>B64</f>
        <v>Profit</v>
      </c>
      <c r="C76" s="90"/>
      <c r="D76" s="90"/>
      <c r="E76" s="90"/>
      <c r="F76" s="91">
        <f ca="1">SUM(G74:R74)</f>
        <v>-53131861.406902187</v>
      </c>
    </row>
    <row r="77" spans="2:37">
      <c r="B77" s="92" t="str">
        <f t="shared" ref="B77:B80" si="26">B65</f>
        <v>PV</v>
      </c>
      <c r="F77" s="93">
        <f ca="1">NPV($M$27,H74:R74)</f>
        <v>-8748351.4489649478</v>
      </c>
    </row>
    <row r="78" spans="2:37">
      <c r="B78" s="92" t="str">
        <f t="shared" si="26"/>
        <v>NPV</v>
      </c>
      <c r="F78" s="93">
        <f ca="1">F77+G74</f>
        <v>-67706199.40657413</v>
      </c>
    </row>
    <row r="79" spans="2:37">
      <c r="B79" s="92" t="s">
        <v>536</v>
      </c>
      <c r="F79" s="98">
        <f ca="1">IRR(G74:R74)</f>
        <v>-9.066408261580805E-2</v>
      </c>
    </row>
    <row r="80" spans="2:37" ht="16.2" thickBot="1">
      <c r="B80" s="95" t="str">
        <f t="shared" si="26"/>
        <v>Equity Multiple</v>
      </c>
      <c r="C80" s="96"/>
      <c r="D80" s="96"/>
      <c r="E80" s="96"/>
      <c r="F80" s="97">
        <f ca="1">(F76/-G74)+1</f>
        <v>9.8816133093865388E-2</v>
      </c>
    </row>
    <row r="82" spans="1:37">
      <c r="A82" s="63" t="s">
        <v>472</v>
      </c>
      <c r="B82" s="262" t="s">
        <v>537</v>
      </c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</row>
    <row r="83" spans="1:37">
      <c r="B83" s="63" t="s">
        <v>538</v>
      </c>
      <c r="H83" s="99">
        <f ca="1">-H62/$G$62</f>
        <v>9.9208379651203396E-3</v>
      </c>
      <c r="I83" s="99">
        <f t="shared" ref="I83:AK83" ca="1" si="27">-I62/$G$62</f>
        <v>3.4739823646536022E-2</v>
      </c>
      <c r="J83" s="99">
        <f t="shared" ca="1" si="27"/>
        <v>3.5347560246559599E-2</v>
      </c>
      <c r="K83" s="99">
        <f t="shared" ca="1" si="27"/>
        <v>3.5951545364249611E-2</v>
      </c>
      <c r="L83" s="99">
        <f t="shared" ca="1" si="27"/>
        <v>3.6550554085971187E-2</v>
      </c>
      <c r="M83" s="99">
        <f t="shared" ca="1" si="27"/>
        <v>3.714326846480058E-2</v>
      </c>
      <c r="N83" s="99">
        <f t="shared" ca="1" si="27"/>
        <v>3.7728271881461127E-2</v>
      </c>
      <c r="O83" s="99">
        <f t="shared" ca="1" si="27"/>
        <v>3.8304043091974938E-2</v>
      </c>
      <c r="P83" s="99">
        <f t="shared" ca="1" si="27"/>
        <v>3.8868949945340091E-2</v>
      </c>
      <c r="Q83" s="99">
        <f t="shared" ca="1" si="27"/>
        <v>0.7529756587597487</v>
      </c>
      <c r="R83" s="99">
        <f t="shared" ca="1" si="27"/>
        <v>0</v>
      </c>
      <c r="S83" s="99">
        <f t="shared" ca="1" si="27"/>
        <v>0</v>
      </c>
      <c r="T83" s="99">
        <f t="shared" ca="1" si="27"/>
        <v>0</v>
      </c>
      <c r="U83" s="99">
        <f t="shared" ca="1" si="27"/>
        <v>0</v>
      </c>
      <c r="V83" s="99">
        <f t="shared" ca="1" si="27"/>
        <v>0</v>
      </c>
      <c r="W83" s="99">
        <f t="shared" ca="1" si="27"/>
        <v>0</v>
      </c>
      <c r="X83" s="99">
        <f t="shared" ca="1" si="27"/>
        <v>0</v>
      </c>
      <c r="Y83" s="99">
        <f t="shared" ca="1" si="27"/>
        <v>0</v>
      </c>
      <c r="Z83" s="99">
        <f t="shared" ca="1" si="27"/>
        <v>0</v>
      </c>
      <c r="AA83" s="99">
        <f t="shared" ca="1" si="27"/>
        <v>0</v>
      </c>
      <c r="AB83" s="99">
        <f t="shared" ca="1" si="27"/>
        <v>0</v>
      </c>
      <c r="AC83" s="99">
        <f t="shared" ca="1" si="27"/>
        <v>0</v>
      </c>
      <c r="AD83" s="99">
        <f t="shared" ca="1" si="27"/>
        <v>0</v>
      </c>
      <c r="AE83" s="99">
        <f t="shared" ca="1" si="27"/>
        <v>0</v>
      </c>
      <c r="AF83" s="99">
        <f t="shared" ca="1" si="27"/>
        <v>0</v>
      </c>
      <c r="AG83" s="99">
        <f t="shared" ca="1" si="27"/>
        <v>0</v>
      </c>
      <c r="AH83" s="99">
        <f t="shared" ca="1" si="27"/>
        <v>0</v>
      </c>
      <c r="AI83" s="99">
        <f t="shared" ca="1" si="27"/>
        <v>0</v>
      </c>
      <c r="AJ83" s="99">
        <f t="shared" ca="1" si="27"/>
        <v>0</v>
      </c>
      <c r="AK83" s="99">
        <f t="shared" ca="1" si="27"/>
        <v>0</v>
      </c>
    </row>
    <row r="84" spans="1:37">
      <c r="B84" s="63" t="s">
        <v>539</v>
      </c>
      <c r="H84" s="99">
        <f ca="1">-H74/$G$74</f>
        <v>-0.16112384441414571</v>
      </c>
      <c r="I84" s="99">
        <f t="shared" ref="I84:AK84" ca="1" si="28">-I74/$G$74</f>
        <v>-7.8393892142760102E-2</v>
      </c>
      <c r="J84" s="99">
        <f t="shared" ca="1" si="28"/>
        <v>-7.6368103476014845E-2</v>
      </c>
      <c r="K84" s="99">
        <f t="shared" ca="1" si="28"/>
        <v>-7.4354819750381454E-2</v>
      </c>
      <c r="L84" s="99">
        <f t="shared" ca="1" si="28"/>
        <v>-7.2358124011309546E-2</v>
      </c>
      <c r="M84" s="99">
        <f t="shared" ca="1" si="28"/>
        <v>-7.0382409415211566E-2</v>
      </c>
      <c r="N84" s="99">
        <f t="shared" ca="1" si="28"/>
        <v>-6.8432398026343086E-2</v>
      </c>
      <c r="O84" s="99">
        <f t="shared" ca="1" si="28"/>
        <v>-6.6513160657963699E-2</v>
      </c>
      <c r="P84" s="99">
        <f t="shared" ca="1" si="28"/>
        <v>-6.4630137813413188E-2</v>
      </c>
      <c r="Q84" s="99">
        <f t="shared" ca="1" si="28"/>
        <v>0.83137302280140846</v>
      </c>
      <c r="R84" s="99">
        <f t="shared" ca="1" si="28"/>
        <v>0</v>
      </c>
      <c r="S84" s="99">
        <f t="shared" ca="1" si="28"/>
        <v>0</v>
      </c>
      <c r="T84" s="99">
        <f t="shared" ca="1" si="28"/>
        <v>0</v>
      </c>
      <c r="U84" s="99">
        <f t="shared" ca="1" si="28"/>
        <v>0</v>
      </c>
      <c r="V84" s="99">
        <f t="shared" ca="1" si="28"/>
        <v>0</v>
      </c>
      <c r="W84" s="99">
        <f t="shared" ca="1" si="28"/>
        <v>0</v>
      </c>
      <c r="X84" s="99">
        <f t="shared" ca="1" si="28"/>
        <v>0</v>
      </c>
      <c r="Y84" s="99">
        <f t="shared" ca="1" si="28"/>
        <v>0</v>
      </c>
      <c r="Z84" s="99">
        <f t="shared" ca="1" si="28"/>
        <v>0</v>
      </c>
      <c r="AA84" s="99">
        <f t="shared" ca="1" si="28"/>
        <v>0</v>
      </c>
      <c r="AB84" s="99">
        <f t="shared" ca="1" si="28"/>
        <v>0</v>
      </c>
      <c r="AC84" s="99">
        <f t="shared" ca="1" si="28"/>
        <v>0</v>
      </c>
      <c r="AD84" s="99">
        <f t="shared" ca="1" si="28"/>
        <v>0</v>
      </c>
      <c r="AE84" s="99">
        <f t="shared" ca="1" si="28"/>
        <v>0</v>
      </c>
      <c r="AF84" s="99">
        <f t="shared" ca="1" si="28"/>
        <v>0</v>
      </c>
      <c r="AG84" s="99">
        <f t="shared" ca="1" si="28"/>
        <v>0</v>
      </c>
      <c r="AH84" s="99">
        <f t="shared" ca="1" si="28"/>
        <v>0</v>
      </c>
      <c r="AI84" s="99">
        <f t="shared" ca="1" si="28"/>
        <v>0</v>
      </c>
      <c r="AJ84" s="99">
        <f t="shared" ca="1" si="28"/>
        <v>0</v>
      </c>
      <c r="AK84" s="99">
        <f t="shared" ca="1" si="28"/>
        <v>0</v>
      </c>
    </row>
    <row r="85" spans="1:37">
      <c r="B85" s="63" t="s">
        <v>540</v>
      </c>
      <c r="H85" s="67">
        <f t="shared" ref="H85:AK85" ca="1" si="29">-CUMPRINC($R$13/12,$R$14*12,$R$12,H39*12-11,H39*12,0)</f>
        <v>3843036.8205891517</v>
      </c>
      <c r="I85" s="67">
        <f t="shared" ca="1" si="29"/>
        <v>4063857.4410572425</v>
      </c>
      <c r="J85" s="67">
        <f t="shared" ca="1" si="29"/>
        <v>4297366.398561989</v>
      </c>
      <c r="K85" s="67">
        <f t="shared" ca="1" si="29"/>
        <v>4544292.7640407626</v>
      </c>
      <c r="L85" s="67">
        <f t="shared" ca="1" si="29"/>
        <v>4805407.5007947795</v>
      </c>
      <c r="M85" s="67">
        <f t="shared" ca="1" si="29"/>
        <v>5081525.8716213293</v>
      </c>
      <c r="N85" s="67">
        <f t="shared" ca="1" si="29"/>
        <v>5373509.9842596389</v>
      </c>
      <c r="O85" s="67">
        <f t="shared" ca="1" si="29"/>
        <v>5682271.4830978904</v>
      </c>
      <c r="P85" s="67">
        <f t="shared" ca="1" si="29"/>
        <v>6008774.3955455134</v>
      </c>
      <c r="Q85" s="67">
        <f t="shared" ca="1" si="29"/>
        <v>6354038.1419578418</v>
      </c>
      <c r="R85" s="67">
        <f t="shared" ca="1" si="29"/>
        <v>6719140.7185108149</v>
      </c>
      <c r="S85" s="67">
        <f t="shared" ca="1" si="29"/>
        <v>7105222.0629634298</v>
      </c>
      <c r="T85" s="67">
        <f t="shared" ca="1" si="29"/>
        <v>7513487.6138166804</v>
      </c>
      <c r="U85" s="67">
        <f t="shared" ca="1" si="29"/>
        <v>7945212.0739814825</v>
      </c>
      <c r="V85" s="67">
        <f t="shared" ca="1" si="29"/>
        <v>8401743.3907067236</v>
      </c>
      <c r="W85" s="67">
        <f t="shared" ca="1" si="29"/>
        <v>8884506.9641936738</v>
      </c>
      <c r="X85" s="67">
        <f t="shared" ca="1" si="29"/>
        <v>9395010.0980370641</v>
      </c>
      <c r="Y85" s="67">
        <f t="shared" ca="1" si="29"/>
        <v>9934846.705388248</v>
      </c>
      <c r="Z85" s="67">
        <f t="shared" ca="1" si="29"/>
        <v>10505702.285534075</v>
      </c>
      <c r="AA85" s="67">
        <f t="shared" ca="1" si="29"/>
        <v>11109359.186429711</v>
      </c>
      <c r="AB85" s="67" t="e">
        <f t="shared" ca="1" si="29"/>
        <v>#NUM!</v>
      </c>
      <c r="AC85" s="67" t="e">
        <f t="shared" ca="1" si="29"/>
        <v>#NUM!</v>
      </c>
      <c r="AD85" s="67" t="e">
        <f t="shared" ca="1" si="29"/>
        <v>#NUM!</v>
      </c>
      <c r="AE85" s="67" t="e">
        <f t="shared" ca="1" si="29"/>
        <v>#NUM!</v>
      </c>
      <c r="AF85" s="67" t="e">
        <f t="shared" ca="1" si="29"/>
        <v>#NUM!</v>
      </c>
      <c r="AG85" s="67" t="e">
        <f t="shared" ca="1" si="29"/>
        <v>#NUM!</v>
      </c>
      <c r="AH85" s="67" t="e">
        <f t="shared" ca="1" si="29"/>
        <v>#NUM!</v>
      </c>
      <c r="AI85" s="67" t="e">
        <f t="shared" ca="1" si="29"/>
        <v>#NUM!</v>
      </c>
      <c r="AJ85" s="67" t="e">
        <f t="shared" ca="1" si="29"/>
        <v>#NUM!</v>
      </c>
      <c r="AK85" s="67" t="e">
        <f t="shared" ca="1" si="29"/>
        <v>#NUM!</v>
      </c>
    </row>
    <row r="86" spans="1:37">
      <c r="B86" s="63" t="s">
        <v>541</v>
      </c>
      <c r="H86" s="99">
        <f t="shared" ref="H86:AK86" ca="1" si="30">IF(H39&lt;=$M$26,(H85+H74)/-$G$74,0)</f>
        <v>-9.5941057834956045E-2</v>
      </c>
      <c r="I86" s="99">
        <f t="shared" ca="1" si="30"/>
        <v>-9.4657073152005014E-3</v>
      </c>
      <c r="J86" s="99">
        <f t="shared" ca="1" si="30"/>
        <v>-3.4793100849839342E-3</v>
      </c>
      <c r="K86" s="99">
        <f t="shared" ca="1" si="30"/>
        <v>2.722158488514221E-3</v>
      </c>
      <c r="L86" s="99">
        <f t="shared" ca="1" si="30"/>
        <v>9.1476918768463086E-3</v>
      </c>
      <c r="M86" s="99">
        <f t="shared" ca="1" si="30"/>
        <v>1.5806724816332267E-2</v>
      </c>
      <c r="N86" s="99">
        <f t="shared" ca="1" si="30"/>
        <v>2.2709157685174817E-2</v>
      </c>
      <c r="O86" s="99">
        <f t="shared" ca="1" si="30"/>
        <v>2.9865382317069176E-2</v>
      </c>
      <c r="P86" s="99">
        <f t="shared" ca="1" si="30"/>
        <v>3.7286309338216826E-2</v>
      </c>
      <c r="Q86" s="99">
        <f t="shared" ca="1" si="30"/>
        <v>0.93914558170699147</v>
      </c>
      <c r="R86" s="99">
        <f t="shared" si="30"/>
        <v>0</v>
      </c>
      <c r="S86" s="99">
        <f t="shared" si="30"/>
        <v>0</v>
      </c>
      <c r="T86" s="99">
        <f t="shared" si="30"/>
        <v>0</v>
      </c>
      <c r="U86" s="99">
        <f t="shared" si="30"/>
        <v>0</v>
      </c>
      <c r="V86" s="99">
        <f t="shared" si="30"/>
        <v>0</v>
      </c>
      <c r="W86" s="99">
        <f t="shared" si="30"/>
        <v>0</v>
      </c>
      <c r="X86" s="99">
        <f t="shared" si="30"/>
        <v>0</v>
      </c>
      <c r="Y86" s="99">
        <f t="shared" si="30"/>
        <v>0</v>
      </c>
      <c r="Z86" s="99">
        <f t="shared" si="30"/>
        <v>0</v>
      </c>
      <c r="AA86" s="99">
        <f t="shared" si="30"/>
        <v>0</v>
      </c>
      <c r="AB86" s="99">
        <f t="shared" si="30"/>
        <v>0</v>
      </c>
      <c r="AC86" s="99">
        <f t="shared" si="30"/>
        <v>0</v>
      </c>
      <c r="AD86" s="99">
        <f t="shared" si="30"/>
        <v>0</v>
      </c>
      <c r="AE86" s="99">
        <f t="shared" si="30"/>
        <v>0</v>
      </c>
      <c r="AF86" s="99">
        <f t="shared" si="30"/>
        <v>0</v>
      </c>
      <c r="AG86" s="99">
        <f t="shared" si="30"/>
        <v>0</v>
      </c>
      <c r="AH86" s="99">
        <f t="shared" si="30"/>
        <v>0</v>
      </c>
      <c r="AI86" s="99">
        <f t="shared" si="30"/>
        <v>0</v>
      </c>
      <c r="AJ86" s="99">
        <f t="shared" si="30"/>
        <v>0</v>
      </c>
      <c r="AK86" s="99">
        <f t="shared" si="30"/>
        <v>0</v>
      </c>
    </row>
    <row r="87" spans="1:37">
      <c r="B87" s="63" t="s">
        <v>491</v>
      </c>
      <c r="H87" s="76">
        <f t="shared" ref="H87:AK87" ca="1" si="31">IF(H39&lt;=$M$26,H58/-H72,0)</f>
        <v>0.17029145264971657</v>
      </c>
      <c r="I87" s="76">
        <f t="shared" ca="1" si="31"/>
        <v>0.59631001477523204</v>
      </c>
      <c r="J87" s="76">
        <f t="shared" ca="1" si="31"/>
        <v>0.60674182999187731</v>
      </c>
      <c r="K87" s="76">
        <f t="shared" ca="1" si="31"/>
        <v>0.61710925091255509</v>
      </c>
      <c r="L87" s="76">
        <f t="shared" ca="1" si="31"/>
        <v>0.62739125186151212</v>
      </c>
      <c r="M87" s="76">
        <f t="shared" ca="1" si="31"/>
        <v>0.63756521024406987</v>
      </c>
      <c r="N87" s="76">
        <f t="shared" ca="1" si="31"/>
        <v>0.64760680975193585</v>
      </c>
      <c r="O87" s="76">
        <f t="shared" ca="1" si="31"/>
        <v>0.65748993819098545</v>
      </c>
      <c r="P87" s="76">
        <f t="shared" ca="1" si="31"/>
        <v>0.6671865796450186</v>
      </c>
      <c r="Q87" s="76">
        <f t="shared" ca="1" si="31"/>
        <v>0.67666670067407342</v>
      </c>
      <c r="R87" s="76">
        <f t="shared" si="31"/>
        <v>0</v>
      </c>
      <c r="S87" s="76">
        <f t="shared" si="31"/>
        <v>0</v>
      </c>
      <c r="T87" s="76">
        <f t="shared" si="31"/>
        <v>0</v>
      </c>
      <c r="U87" s="76">
        <f t="shared" si="31"/>
        <v>0</v>
      </c>
      <c r="V87" s="76">
        <f t="shared" si="31"/>
        <v>0</v>
      </c>
      <c r="W87" s="76">
        <f t="shared" si="31"/>
        <v>0</v>
      </c>
      <c r="X87" s="76">
        <f t="shared" si="31"/>
        <v>0</v>
      </c>
      <c r="Y87" s="76">
        <f t="shared" si="31"/>
        <v>0</v>
      </c>
      <c r="Z87" s="76">
        <f t="shared" si="31"/>
        <v>0</v>
      </c>
      <c r="AA87" s="76">
        <f t="shared" si="31"/>
        <v>0</v>
      </c>
      <c r="AB87" s="76">
        <f t="shared" si="31"/>
        <v>0</v>
      </c>
      <c r="AC87" s="76">
        <f t="shared" si="31"/>
        <v>0</v>
      </c>
      <c r="AD87" s="76">
        <f t="shared" si="31"/>
        <v>0</v>
      </c>
      <c r="AE87" s="76">
        <f t="shared" si="31"/>
        <v>0</v>
      </c>
      <c r="AF87" s="76">
        <f t="shared" si="31"/>
        <v>0</v>
      </c>
      <c r="AG87" s="76">
        <f t="shared" si="31"/>
        <v>0</v>
      </c>
      <c r="AH87" s="76">
        <f t="shared" si="31"/>
        <v>0</v>
      </c>
      <c r="AI87" s="76">
        <f t="shared" si="31"/>
        <v>0</v>
      </c>
      <c r="AJ87" s="76">
        <f t="shared" si="31"/>
        <v>0</v>
      </c>
      <c r="AK87" s="76">
        <f t="shared" si="31"/>
        <v>0</v>
      </c>
    </row>
    <row r="88" spans="1:37">
      <c r="B88" s="63" t="s">
        <v>493</v>
      </c>
      <c r="H88" s="99">
        <f ca="1">H62/($G$70-SUM(H85:$H$85))</f>
        <v>1.4579922805855548E-2</v>
      </c>
      <c r="I88" s="99">
        <f ca="1">I62/($G$70-SUM($H85:I$85))</f>
        <v>5.265470839141357E-2</v>
      </c>
      <c r="J88" s="99">
        <f ca="1">J62/($G$70-SUM($H85:J$85))</f>
        <v>5.541237864340063E-2</v>
      </c>
      <c r="K88" s="99">
        <f ca="1">K62/($G$70-SUM($H85:K$85))</f>
        <v>5.8479004100775146E-2</v>
      </c>
      <c r="L88" s="99">
        <f ca="1">L62/($G$70-SUM($H85:L$85))</f>
        <v>6.1915961040947286E-2</v>
      </c>
      <c r="M88" s="99">
        <f ca="1">M62/($G$70-SUM($H85:M$85))</f>
        <v>6.5802199746708492E-2</v>
      </c>
      <c r="N88" s="99">
        <f ca="1">N62/($G$70-SUM($H85:N$85))</f>
        <v>7.0241005092994774E-2</v>
      </c>
      <c r="O88" s="99">
        <f ca="1">O62/($G$70-SUM($H85:O$85))</f>
        <v>7.5370137338889767E-2</v>
      </c>
      <c r="P88" s="99">
        <f ca="1">P62/($G$70-SUM($H85:P$85))</f>
        <v>8.1377504157910216E-2</v>
      </c>
      <c r="Q88" s="99">
        <f ca="1">Q62/($G$70-SUM($H85:Q$85))</f>
        <v>1.6909182977883355</v>
      </c>
      <c r="R88" s="99">
        <f ca="1">R62/($G$70-SUM($H85:R$85))</f>
        <v>0</v>
      </c>
      <c r="S88" s="99">
        <f ca="1">S62/($G$70-SUM($H85:S$85))</f>
        <v>0</v>
      </c>
      <c r="T88" s="99">
        <f ca="1">T62/($G$70-SUM($H85:T$85))</f>
        <v>0</v>
      </c>
      <c r="U88" s="99">
        <f ca="1">U62/($G$70-SUM($H85:U$85))</f>
        <v>0</v>
      </c>
      <c r="V88" s="99">
        <f ca="1">V62/($G$70-SUM($H85:V$85))</f>
        <v>0</v>
      </c>
      <c r="W88" s="99">
        <f ca="1">W62/($G$70-SUM($H85:W$85))</f>
        <v>0</v>
      </c>
      <c r="X88" s="99">
        <f ca="1">X62/($G$70-SUM($H85:X$85))</f>
        <v>0</v>
      </c>
      <c r="Y88" s="99">
        <f ca="1">Y62/($G$70-SUM($H85:Y$85))</f>
        <v>0</v>
      </c>
      <c r="Z88" s="99">
        <f ca="1">Z62/($G$70-SUM($H85:Z$85))</f>
        <v>0</v>
      </c>
      <c r="AA88" s="99" t="e">
        <f ca="1">AA62/($G$70-SUM($H85:AA$85))</f>
        <v>#DIV/0!</v>
      </c>
      <c r="AB88" s="99" t="e">
        <f ca="1">AB62/($G$70-SUM($H85:AB$85))</f>
        <v>#NUM!</v>
      </c>
      <c r="AC88" s="99" t="e">
        <f ca="1">AC62/($G$70-SUM($H85:AC$85))</f>
        <v>#NUM!</v>
      </c>
      <c r="AD88" s="99" t="e">
        <f ca="1">AD62/($G$70-SUM($H85:AD$85))</f>
        <v>#NUM!</v>
      </c>
      <c r="AE88" s="99" t="e">
        <f ca="1">AE62/($G$70-SUM($H85:AE$85))</f>
        <v>#NUM!</v>
      </c>
      <c r="AF88" s="99" t="e">
        <f ca="1">AF62/($G$70-SUM($H85:AF$85))</f>
        <v>#NUM!</v>
      </c>
      <c r="AG88" s="99" t="e">
        <f ca="1">AG62/($G$70-SUM($H85:AG$85))</f>
        <v>#NUM!</v>
      </c>
      <c r="AH88" s="99" t="e">
        <f ca="1">AH62/($G$70-SUM($H85:AH$85))</f>
        <v>#NUM!</v>
      </c>
      <c r="AI88" s="99" t="e">
        <f ca="1">AI62/($G$70-SUM($H85:AI$85))</f>
        <v>#NUM!</v>
      </c>
      <c r="AJ88" s="99" t="e">
        <f ca="1">AJ62/($G$70-SUM($H85:AJ$85))</f>
        <v>#NUM!</v>
      </c>
      <c r="AK88" s="99" t="e">
        <f ca="1">AK62/($G$70-SUM($H85:AK$85))</f>
        <v>#NUM!</v>
      </c>
    </row>
  </sheetData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7317-8220-40CE-850D-F720075B7F5B}">
  <sheetPr>
    <tabColor rgb="FFFFC000"/>
  </sheetPr>
  <dimension ref="A8:AK87"/>
  <sheetViews>
    <sheetView showGridLines="0" view="pageBreakPreview" zoomScale="80" zoomScaleNormal="100" zoomScaleSheetLayoutView="80" workbookViewId="0"/>
  </sheetViews>
  <sheetFormatPr defaultColWidth="12.44140625" defaultRowHeight="15.6"/>
  <cols>
    <col min="1" max="1" width="1.77734375" style="63" customWidth="1"/>
    <col min="2" max="3" width="1.88671875" style="63" customWidth="1"/>
    <col min="4" max="4" width="6.44140625" style="63" bestFit="1" customWidth="1"/>
    <col min="5" max="5" width="12.44140625" style="63"/>
    <col min="6" max="6" width="16.77734375" style="63" bestFit="1" customWidth="1"/>
    <col min="7" max="7" width="17.44140625" style="63" bestFit="1" customWidth="1"/>
    <col min="8" max="18" width="14.6640625" style="63" bestFit="1" customWidth="1"/>
    <col min="19" max="19" width="15.21875" style="63" bestFit="1" customWidth="1"/>
    <col min="20" max="20" width="14.33203125" style="240" customWidth="1"/>
    <col min="21" max="21" width="13.33203125" style="63" bestFit="1" customWidth="1"/>
    <col min="22" max="16384" width="12.44140625" style="63"/>
  </cols>
  <sheetData>
    <row r="8" spans="1:21">
      <c r="B8" s="445" t="s">
        <v>762</v>
      </c>
    </row>
    <row r="9" spans="1:21">
      <c r="B9" s="446" t="s">
        <v>765</v>
      </c>
    </row>
    <row r="10" spans="1:21">
      <c r="T10" s="240" t="s">
        <v>672</v>
      </c>
      <c r="U10" s="226" t="s">
        <v>663</v>
      </c>
    </row>
    <row r="11" spans="1:21">
      <c r="A11" s="63" t="s">
        <v>472</v>
      </c>
      <c r="B11" s="262" t="s">
        <v>473</v>
      </c>
      <c r="C11" s="264"/>
      <c r="D11" s="264"/>
      <c r="E11" s="264"/>
      <c r="F11" s="264"/>
      <c r="G11" s="264"/>
      <c r="I11" s="262" t="s">
        <v>474</v>
      </c>
      <c r="J11" s="262"/>
      <c r="K11" s="262"/>
      <c r="L11" s="262"/>
      <c r="M11" s="262"/>
      <c r="O11" s="262" t="s">
        <v>475</v>
      </c>
      <c r="P11" s="262"/>
      <c r="Q11" s="262"/>
      <c r="R11" s="262"/>
      <c r="T11" s="241" t="s">
        <v>659</v>
      </c>
      <c r="U11" s="234">
        <f>'Area Matrix'!F20</f>
        <v>0.3</v>
      </c>
    </row>
    <row r="12" spans="1:21">
      <c r="B12" s="63" t="s">
        <v>476</v>
      </c>
      <c r="G12" s="174">
        <f>ROUNDDOWN(G15/G16,0)</f>
        <v>173</v>
      </c>
      <c r="I12" s="66" t="s">
        <v>477</v>
      </c>
      <c r="L12" s="227" t="s">
        <v>658</v>
      </c>
      <c r="O12" s="63" t="s">
        <v>478</v>
      </c>
      <c r="R12" s="67">
        <f ca="1">MAX(G23:G25)</f>
        <v>41270493.570326403</v>
      </c>
      <c r="T12" s="241" t="s">
        <v>660</v>
      </c>
      <c r="U12" s="235">
        <f>'Area Matrix'!L58</f>
        <v>11299614.646199999</v>
      </c>
    </row>
    <row r="13" spans="1:21">
      <c r="B13" s="63" t="s">
        <v>479</v>
      </c>
      <c r="F13" s="68"/>
      <c r="G13" s="108">
        <f>'Area Matrix'!D43</f>
        <v>203675.37410999998</v>
      </c>
      <c r="I13" s="63" t="s">
        <v>721</v>
      </c>
      <c r="L13" s="229">
        <v>0.4</v>
      </c>
      <c r="M13" s="228">
        <f>L13*'Phase I - CF MF Market Rental'!M14</f>
        <v>600</v>
      </c>
      <c r="O13" s="63" t="s">
        <v>460</v>
      </c>
      <c r="R13" s="70">
        <v>5.6000000000000001E-2</v>
      </c>
      <c r="T13" s="241" t="s">
        <v>661</v>
      </c>
      <c r="U13" s="235">
        <f ca="1">SUM('Area Matrix'!D58,'Area Matrix'!H58,'Area Matrix'!P58,'Area Matrix'!T58)</f>
        <v>47658233.311409153</v>
      </c>
    </row>
    <row r="14" spans="1:21">
      <c r="B14" s="63" t="s">
        <v>625</v>
      </c>
      <c r="G14" s="225">
        <f>'Phase II - CF MF Market Rental'!G14</f>
        <v>0.85</v>
      </c>
      <c r="I14" s="63" t="s">
        <v>484</v>
      </c>
      <c r="L14" s="229">
        <v>0.5</v>
      </c>
      <c r="M14" s="228">
        <f>L14*'Phase I - CF MF Market Rental'!M15</f>
        <v>850</v>
      </c>
      <c r="O14" s="63" t="s">
        <v>482</v>
      </c>
      <c r="R14" s="71">
        <v>20</v>
      </c>
      <c r="T14" s="241" t="s">
        <v>662</v>
      </c>
      <c r="U14" s="236" t="s">
        <v>663</v>
      </c>
    </row>
    <row r="15" spans="1:21">
      <c r="B15" s="63" t="s">
        <v>557</v>
      </c>
      <c r="G15" s="172">
        <f>G13*G14</f>
        <v>173124.06799349998</v>
      </c>
      <c r="I15" s="63" t="s">
        <v>487</v>
      </c>
      <c r="M15" s="173">
        <v>0.02</v>
      </c>
      <c r="O15" s="63" t="s">
        <v>485</v>
      </c>
      <c r="R15" s="67">
        <f ca="1">PMT(R13/12,R14*12,R12)</f>
        <v>-286230.48272950371</v>
      </c>
      <c r="S15" s="73"/>
      <c r="T15" s="241" t="s">
        <v>664</v>
      </c>
      <c r="U15" s="237">
        <f>IF(U14="Y", 30%, 0%)</f>
        <v>0.3</v>
      </c>
    </row>
    <row r="16" spans="1:21">
      <c r="B16" s="63" t="s">
        <v>21</v>
      </c>
      <c r="G16" s="224">
        <f>'Phase II - CF MF Market Rental'!G16</f>
        <v>1000</v>
      </c>
      <c r="I16" s="63" t="s">
        <v>489</v>
      </c>
      <c r="M16" s="173">
        <v>0.02</v>
      </c>
      <c r="T16" s="241" t="s">
        <v>665</v>
      </c>
      <c r="U16" s="235">
        <f ca="1">U12+(U13*(100%+U15))</f>
        <v>73255317.951031893</v>
      </c>
    </row>
    <row r="17" spans="2:21">
      <c r="B17" s="63" t="s">
        <v>483</v>
      </c>
      <c r="E17" s="72"/>
      <c r="F17" s="72"/>
      <c r="G17" s="254">
        <f>'Phase II - CF MF Market Rental'!G17</f>
        <v>0.2</v>
      </c>
      <c r="I17" s="63" t="s">
        <v>490</v>
      </c>
      <c r="M17" s="230">
        <v>6</v>
      </c>
      <c r="O17" s="63" t="s">
        <v>467</v>
      </c>
      <c r="R17" s="233">
        <v>0.7</v>
      </c>
      <c r="T17" s="241" t="s">
        <v>666</v>
      </c>
      <c r="U17" s="239">
        <v>3.2099999999999997E-2</v>
      </c>
    </row>
    <row r="18" spans="2:21">
      <c r="B18" s="63" t="s">
        <v>486</v>
      </c>
      <c r="G18" s="254">
        <f>'Phase II - CF MF Market Rental'!G18</f>
        <v>0.5</v>
      </c>
      <c r="I18" s="63" t="s">
        <v>492</v>
      </c>
      <c r="M18" s="230">
        <v>29</v>
      </c>
      <c r="O18" s="63" t="s">
        <v>491</v>
      </c>
      <c r="R18" s="572">
        <v>1.33</v>
      </c>
      <c r="T18" s="241" t="s">
        <v>667</v>
      </c>
      <c r="U18" s="235">
        <f ca="1">U16*U17*U11</f>
        <v>705448.71186843701</v>
      </c>
    </row>
    <row r="19" spans="2:21">
      <c r="B19" s="63" t="s">
        <v>488</v>
      </c>
      <c r="G19" s="254">
        <f>'Phase II - CF MF Market Rental'!G19</f>
        <v>0.3</v>
      </c>
      <c r="I19" s="63" t="s">
        <v>494</v>
      </c>
      <c r="M19" s="231">
        <v>0.3</v>
      </c>
      <c r="O19" s="63" t="s">
        <v>493</v>
      </c>
      <c r="R19" s="233">
        <v>0.08</v>
      </c>
      <c r="T19" s="241" t="s">
        <v>668</v>
      </c>
      <c r="U19" s="235">
        <f ca="1">U18*10</f>
        <v>7054487.1186843701</v>
      </c>
    </row>
    <row r="20" spans="2:21">
      <c r="B20" s="63" t="s">
        <v>496</v>
      </c>
      <c r="G20" s="108">
        <f>G12/1.5</f>
        <v>115.33333333333333</v>
      </c>
      <c r="I20" s="63" t="s">
        <v>497</v>
      </c>
      <c r="M20" s="173">
        <v>0.02</v>
      </c>
      <c r="O20" s="232"/>
      <c r="P20" s="232"/>
      <c r="Q20" s="232"/>
      <c r="R20" s="233"/>
      <c r="T20" s="241" t="s">
        <v>669</v>
      </c>
      <c r="U20" s="235">
        <f ca="1">U19*99.99%</f>
        <v>7053781.6699725008</v>
      </c>
    </row>
    <row r="21" spans="2:21">
      <c r="G21" s="69"/>
      <c r="I21" s="63" t="s">
        <v>728</v>
      </c>
      <c r="M21" s="77">
        <f>Taxes!$X$13</f>
        <v>0.06</v>
      </c>
      <c r="R21" s="75"/>
      <c r="T21" s="241" t="s">
        <v>670</v>
      </c>
      <c r="U21" s="238">
        <v>0.98</v>
      </c>
    </row>
    <row r="22" spans="2:21">
      <c r="B22" s="262" t="s">
        <v>502</v>
      </c>
      <c r="C22" s="262"/>
      <c r="D22" s="262"/>
      <c r="E22" s="262"/>
      <c r="F22" s="262"/>
      <c r="G22" s="262"/>
      <c r="I22" s="63" t="s">
        <v>498</v>
      </c>
      <c r="M22" s="173">
        <v>0.02</v>
      </c>
      <c r="O22" s="262" t="s">
        <v>499</v>
      </c>
      <c r="P22" s="262"/>
      <c r="Q22" s="262"/>
      <c r="R22" s="262"/>
      <c r="T22" s="241" t="s">
        <v>671</v>
      </c>
      <c r="U22" s="235">
        <f ca="1">IF(U10="Y",U20*U21, 0)</f>
        <v>6912706.0365730505</v>
      </c>
    </row>
    <row r="23" spans="2:21">
      <c r="B23" s="63" t="s">
        <v>467</v>
      </c>
      <c r="G23" s="82">
        <f ca="1">R17*R29</f>
        <v>41270493.570326403</v>
      </c>
      <c r="I23" s="63" t="s">
        <v>500</v>
      </c>
      <c r="K23" s="76"/>
      <c r="L23" s="229">
        <v>0.5</v>
      </c>
      <c r="M23" s="228">
        <f>L23*'Phase I - CF MF Market Rental'!M24</f>
        <v>960</v>
      </c>
      <c r="O23" s="63" t="s">
        <v>28</v>
      </c>
      <c r="Q23" s="77">
        <f ca="1">R23/$R$26</f>
        <v>0.18275172388342092</v>
      </c>
      <c r="R23" s="67">
        <f ca="1">R26-R25-R24</f>
        <v>10774648.350709701</v>
      </c>
    </row>
    <row r="24" spans="2:21">
      <c r="B24" s="63" t="s">
        <v>491</v>
      </c>
      <c r="G24" s="67">
        <f>H57/R19</f>
        <v>7825846.924999998</v>
      </c>
      <c r="I24" s="63" t="s">
        <v>501</v>
      </c>
      <c r="K24" s="76"/>
      <c r="M24" s="173">
        <v>0.1</v>
      </c>
      <c r="O24" s="63" t="s">
        <v>652</v>
      </c>
      <c r="Q24" s="77">
        <f t="shared" ref="Q24:Q25" ca="1" si="0">R24/$R$26</f>
        <v>0.11724827611657916</v>
      </c>
      <c r="R24" s="67">
        <f ca="1">U22</f>
        <v>6912706.0365730505</v>
      </c>
    </row>
    <row r="25" spans="2:21">
      <c r="B25" s="63" t="s">
        <v>493</v>
      </c>
      <c r="G25" s="67">
        <f>PV(R13/12,R14*12,-H57/R18/12,0)</f>
        <v>5656036.8271859949</v>
      </c>
      <c r="I25" s="63" t="s">
        <v>503</v>
      </c>
      <c r="K25" s="76"/>
      <c r="M25" s="382">
        <v>10</v>
      </c>
      <c r="O25" s="78" t="s">
        <v>478</v>
      </c>
      <c r="P25" s="78"/>
      <c r="Q25" s="77">
        <f t="shared" ca="1" si="0"/>
        <v>0.7</v>
      </c>
      <c r="R25" s="80">
        <f ca="1">R12</f>
        <v>41270493.570326403</v>
      </c>
    </row>
    <row r="26" spans="2:21">
      <c r="G26" s="81"/>
      <c r="I26" s="63" t="s">
        <v>504</v>
      </c>
      <c r="K26" s="76"/>
      <c r="M26" s="173">
        <v>0.08</v>
      </c>
      <c r="O26" s="63" t="s">
        <v>16</v>
      </c>
      <c r="Q26" s="84"/>
      <c r="R26" s="67">
        <f ca="1">R31</f>
        <v>58957847.957609154</v>
      </c>
    </row>
    <row r="27" spans="2:21">
      <c r="I27" s="63" t="s">
        <v>505</v>
      </c>
      <c r="M27" s="383">
        <v>5.6000000000000001E-2</v>
      </c>
    </row>
    <row r="28" spans="2:21">
      <c r="O28" s="262" t="s">
        <v>449</v>
      </c>
      <c r="P28" s="262"/>
      <c r="Q28" s="262"/>
      <c r="R28" s="262"/>
    </row>
    <row r="29" spans="2:21">
      <c r="O29" s="63" t="s">
        <v>506</v>
      </c>
      <c r="R29" s="82">
        <f ca="1">SUM('Area Matrix'!D58,'Area Matrix'!H58,'Area Matrix'!L58,'Area Matrix'!P58,'Area Matrix'!T58)</f>
        <v>58957847.957609154</v>
      </c>
    </row>
    <row r="30" spans="2:21">
      <c r="O30" s="78" t="s">
        <v>507</v>
      </c>
      <c r="P30" s="78"/>
      <c r="Q30" s="78"/>
      <c r="R30" s="80">
        <v>0</v>
      </c>
    </row>
    <row r="31" spans="2:21">
      <c r="O31" s="63" t="s">
        <v>453</v>
      </c>
      <c r="R31" s="67">
        <f ca="1">SUM(R29:R30)</f>
        <v>58957847.957609154</v>
      </c>
    </row>
    <row r="33" spans="1:37">
      <c r="A33" s="63" t="s">
        <v>472</v>
      </c>
      <c r="B33" s="262" t="s">
        <v>508</v>
      </c>
      <c r="C33" s="262"/>
      <c r="D33" s="262"/>
      <c r="E33" s="262"/>
      <c r="F33" s="268"/>
      <c r="G33" s="268">
        <f>F33+1</f>
        <v>1</v>
      </c>
      <c r="H33" s="268">
        <f>G33+1</f>
        <v>2</v>
      </c>
      <c r="I33" s="268">
        <f t="shared" ref="I33:R33" si="1">H33+1</f>
        <v>3</v>
      </c>
      <c r="J33" s="268">
        <f t="shared" si="1"/>
        <v>4</v>
      </c>
      <c r="K33" s="268">
        <f t="shared" si="1"/>
        <v>5</v>
      </c>
      <c r="L33" s="268">
        <f t="shared" si="1"/>
        <v>6</v>
      </c>
      <c r="M33" s="268">
        <f t="shared" si="1"/>
        <v>7</v>
      </c>
      <c r="N33" s="268">
        <f t="shared" si="1"/>
        <v>8</v>
      </c>
      <c r="O33" s="268">
        <f t="shared" si="1"/>
        <v>9</v>
      </c>
      <c r="P33" s="268">
        <f t="shared" si="1"/>
        <v>10</v>
      </c>
      <c r="Q33" s="268">
        <f t="shared" si="1"/>
        <v>11</v>
      </c>
      <c r="R33" s="268">
        <f t="shared" si="1"/>
        <v>12</v>
      </c>
    </row>
    <row r="34" spans="1:37">
      <c r="B34" s="66" t="s">
        <v>509</v>
      </c>
    </row>
    <row r="35" spans="1:37">
      <c r="B35" s="63" t="s">
        <v>720</v>
      </c>
      <c r="G35" s="67">
        <f t="shared" ref="G35:R35" si="2">IF(G33&gt;=$M$17,$M$13*$M$18*$G$18*($L$33),$M$13*$G$18*(G$33*$M$18))</f>
        <v>8700</v>
      </c>
      <c r="H35" s="67">
        <f t="shared" si="2"/>
        <v>17400</v>
      </c>
      <c r="I35" s="67">
        <f t="shared" si="2"/>
        <v>26100</v>
      </c>
      <c r="J35" s="67">
        <f t="shared" si="2"/>
        <v>34800</v>
      </c>
      <c r="K35" s="67">
        <f t="shared" si="2"/>
        <v>43500</v>
      </c>
      <c r="L35" s="67">
        <f t="shared" si="2"/>
        <v>52200</v>
      </c>
      <c r="M35" s="67">
        <f t="shared" si="2"/>
        <v>52200</v>
      </c>
      <c r="N35" s="67">
        <f t="shared" si="2"/>
        <v>52200</v>
      </c>
      <c r="O35" s="67">
        <f t="shared" si="2"/>
        <v>52200</v>
      </c>
      <c r="P35" s="67">
        <f t="shared" si="2"/>
        <v>52200</v>
      </c>
      <c r="Q35" s="67">
        <f t="shared" si="2"/>
        <v>52200</v>
      </c>
      <c r="R35" s="67">
        <f t="shared" si="2"/>
        <v>52200</v>
      </c>
    </row>
    <row r="36" spans="1:37">
      <c r="B36" s="63" t="s">
        <v>512</v>
      </c>
      <c r="G36" s="67">
        <f t="shared" ref="G36:R36" si="3">IF(G33&gt;=$M$17,$M$14*$M$18*$G$19*($L$33),$M$14*$G$19*(G$33*$M$18))</f>
        <v>7395</v>
      </c>
      <c r="H36" s="67">
        <f t="shared" si="3"/>
        <v>14790</v>
      </c>
      <c r="I36" s="67">
        <f t="shared" si="3"/>
        <v>22185</v>
      </c>
      <c r="J36" s="67">
        <f t="shared" si="3"/>
        <v>29580</v>
      </c>
      <c r="K36" s="67">
        <f t="shared" si="3"/>
        <v>36975</v>
      </c>
      <c r="L36" s="67">
        <f t="shared" si="3"/>
        <v>44370</v>
      </c>
      <c r="M36" s="67">
        <f t="shared" si="3"/>
        <v>44370</v>
      </c>
      <c r="N36" s="67">
        <f t="shared" si="3"/>
        <v>44370</v>
      </c>
      <c r="O36" s="67">
        <f t="shared" si="3"/>
        <v>44370</v>
      </c>
      <c r="P36" s="67">
        <f t="shared" si="3"/>
        <v>44370</v>
      </c>
      <c r="Q36" s="67">
        <f t="shared" si="3"/>
        <v>44370</v>
      </c>
      <c r="R36" s="67">
        <f t="shared" si="3"/>
        <v>44370</v>
      </c>
    </row>
    <row r="37" spans="1:37">
      <c r="B37" s="84" t="s">
        <v>16</v>
      </c>
      <c r="C37" s="84"/>
      <c r="D37" s="84"/>
      <c r="E37" s="84"/>
      <c r="F37" s="84"/>
      <c r="G37" s="85">
        <f t="shared" ref="G37:R37" si="4">SUM(G35:G36)</f>
        <v>16095</v>
      </c>
      <c r="H37" s="85">
        <f t="shared" si="4"/>
        <v>32190</v>
      </c>
      <c r="I37" s="85">
        <f t="shared" si="4"/>
        <v>48285</v>
      </c>
      <c r="J37" s="85">
        <f t="shared" si="4"/>
        <v>64380</v>
      </c>
      <c r="K37" s="85">
        <f t="shared" si="4"/>
        <v>80475</v>
      </c>
      <c r="L37" s="85">
        <f t="shared" si="4"/>
        <v>96570</v>
      </c>
      <c r="M37" s="85">
        <f t="shared" si="4"/>
        <v>96570</v>
      </c>
      <c r="N37" s="85">
        <f t="shared" si="4"/>
        <v>96570</v>
      </c>
      <c r="O37" s="85">
        <f t="shared" si="4"/>
        <v>96570</v>
      </c>
      <c r="P37" s="85">
        <f t="shared" si="4"/>
        <v>96570</v>
      </c>
      <c r="Q37" s="85">
        <f t="shared" si="4"/>
        <v>96570</v>
      </c>
      <c r="R37" s="85">
        <f t="shared" si="4"/>
        <v>96570</v>
      </c>
    </row>
    <row r="39" spans="1:37">
      <c r="A39" s="63" t="s">
        <v>472</v>
      </c>
      <c r="B39" s="262" t="s">
        <v>513</v>
      </c>
      <c r="C39" s="262"/>
      <c r="D39" s="262"/>
      <c r="E39" s="262"/>
      <c r="F39" s="262"/>
      <c r="G39" s="263">
        <v>0</v>
      </c>
      <c r="H39" s="263">
        <f>G39+1</f>
        <v>1</v>
      </c>
      <c r="I39" s="263">
        <f t="shared" ref="I39:AK39" si="5">H39+1</f>
        <v>2</v>
      </c>
      <c r="J39" s="263">
        <f t="shared" si="5"/>
        <v>3</v>
      </c>
      <c r="K39" s="263">
        <f t="shared" si="5"/>
        <v>4</v>
      </c>
      <c r="L39" s="263">
        <f t="shared" si="5"/>
        <v>5</v>
      </c>
      <c r="M39" s="263">
        <f t="shared" si="5"/>
        <v>6</v>
      </c>
      <c r="N39" s="263">
        <f t="shared" si="5"/>
        <v>7</v>
      </c>
      <c r="O39" s="263">
        <f t="shared" si="5"/>
        <v>8</v>
      </c>
      <c r="P39" s="263">
        <f t="shared" si="5"/>
        <v>9</v>
      </c>
      <c r="Q39" s="263">
        <f t="shared" si="5"/>
        <v>10</v>
      </c>
      <c r="R39" s="263">
        <f t="shared" si="5"/>
        <v>11</v>
      </c>
      <c r="S39" s="86">
        <f t="shared" si="5"/>
        <v>12</v>
      </c>
      <c r="T39" s="243">
        <f t="shared" si="5"/>
        <v>13</v>
      </c>
      <c r="U39" s="86">
        <f t="shared" si="5"/>
        <v>14</v>
      </c>
      <c r="V39" s="86">
        <f t="shared" si="5"/>
        <v>15</v>
      </c>
      <c r="W39" s="86">
        <f t="shared" si="5"/>
        <v>16</v>
      </c>
      <c r="X39" s="86">
        <f t="shared" si="5"/>
        <v>17</v>
      </c>
      <c r="Y39" s="86">
        <f t="shared" si="5"/>
        <v>18</v>
      </c>
      <c r="Z39" s="86">
        <f t="shared" si="5"/>
        <v>19</v>
      </c>
      <c r="AA39" s="86">
        <f t="shared" si="5"/>
        <v>20</v>
      </c>
      <c r="AB39" s="86">
        <f t="shared" si="5"/>
        <v>21</v>
      </c>
      <c r="AC39" s="86">
        <f t="shared" si="5"/>
        <v>22</v>
      </c>
      <c r="AD39" s="86">
        <f t="shared" si="5"/>
        <v>23</v>
      </c>
      <c r="AE39" s="86">
        <f t="shared" si="5"/>
        <v>24</v>
      </c>
      <c r="AF39" s="86">
        <f t="shared" si="5"/>
        <v>25</v>
      </c>
      <c r="AG39" s="86">
        <f t="shared" si="5"/>
        <v>26</v>
      </c>
      <c r="AH39" s="86">
        <f t="shared" si="5"/>
        <v>27</v>
      </c>
      <c r="AI39" s="86">
        <f t="shared" si="5"/>
        <v>28</v>
      </c>
      <c r="AJ39" s="86">
        <f t="shared" si="5"/>
        <v>29</v>
      </c>
      <c r="AK39" s="86">
        <f t="shared" si="5"/>
        <v>30</v>
      </c>
    </row>
    <row r="40" spans="1:37">
      <c r="B40" s="87" t="s">
        <v>412</v>
      </c>
      <c r="C40" s="87"/>
      <c r="D40" s="87"/>
      <c r="E40" s="87"/>
      <c r="F40" s="87"/>
      <c r="G40" s="87"/>
      <c r="H40" s="88">
        <f t="shared" ref="H40:AK40" si="6">1-$M$15</f>
        <v>0.98</v>
      </c>
      <c r="I40" s="88">
        <f t="shared" si="6"/>
        <v>0.98</v>
      </c>
      <c r="J40" s="88">
        <f t="shared" si="6"/>
        <v>0.98</v>
      </c>
      <c r="K40" s="88">
        <f t="shared" si="6"/>
        <v>0.98</v>
      </c>
      <c r="L40" s="88">
        <f t="shared" si="6"/>
        <v>0.98</v>
      </c>
      <c r="M40" s="88">
        <f t="shared" si="6"/>
        <v>0.98</v>
      </c>
      <c r="N40" s="88">
        <f t="shared" si="6"/>
        <v>0.98</v>
      </c>
      <c r="O40" s="88">
        <f t="shared" si="6"/>
        <v>0.98</v>
      </c>
      <c r="P40" s="88">
        <f t="shared" si="6"/>
        <v>0.98</v>
      </c>
      <c r="Q40" s="88">
        <f t="shared" si="6"/>
        <v>0.98</v>
      </c>
      <c r="R40" s="88">
        <f t="shared" si="6"/>
        <v>0.98</v>
      </c>
      <c r="S40" s="88">
        <f t="shared" si="6"/>
        <v>0.98</v>
      </c>
      <c r="T40" s="244">
        <f t="shared" si="6"/>
        <v>0.98</v>
      </c>
      <c r="U40" s="88">
        <f t="shared" si="6"/>
        <v>0.98</v>
      </c>
      <c r="V40" s="88">
        <f t="shared" si="6"/>
        <v>0.98</v>
      </c>
      <c r="W40" s="88">
        <f t="shared" si="6"/>
        <v>0.98</v>
      </c>
      <c r="X40" s="88">
        <f t="shared" si="6"/>
        <v>0.98</v>
      </c>
      <c r="Y40" s="88">
        <f t="shared" si="6"/>
        <v>0.98</v>
      </c>
      <c r="Z40" s="88">
        <f t="shared" si="6"/>
        <v>0.98</v>
      </c>
      <c r="AA40" s="88">
        <f t="shared" si="6"/>
        <v>0.98</v>
      </c>
      <c r="AB40" s="88">
        <f t="shared" si="6"/>
        <v>0.98</v>
      </c>
      <c r="AC40" s="88">
        <f t="shared" si="6"/>
        <v>0.98</v>
      </c>
      <c r="AD40" s="88">
        <f t="shared" si="6"/>
        <v>0.98</v>
      </c>
      <c r="AE40" s="88">
        <f t="shared" si="6"/>
        <v>0.98</v>
      </c>
      <c r="AF40" s="88">
        <f t="shared" si="6"/>
        <v>0.98</v>
      </c>
      <c r="AG40" s="88">
        <f t="shared" si="6"/>
        <v>0.98</v>
      </c>
      <c r="AH40" s="88">
        <f t="shared" si="6"/>
        <v>0.98</v>
      </c>
      <c r="AI40" s="88">
        <f t="shared" si="6"/>
        <v>0.98</v>
      </c>
      <c r="AJ40" s="88">
        <f t="shared" si="6"/>
        <v>0.98</v>
      </c>
      <c r="AK40" s="88">
        <f t="shared" si="6"/>
        <v>0.98</v>
      </c>
    </row>
    <row r="41" spans="1:37"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245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</row>
    <row r="42" spans="1:37">
      <c r="B42" s="63" t="s">
        <v>506</v>
      </c>
      <c r="G42" s="67">
        <f ca="1">-R31</f>
        <v>-58957847.957609154</v>
      </c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245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</row>
    <row r="44" spans="1:37">
      <c r="B44" s="87" t="s">
        <v>514</v>
      </c>
      <c r="G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246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</row>
    <row r="45" spans="1:37">
      <c r="B45" s="63" t="s">
        <v>722</v>
      </c>
      <c r="G45" s="67"/>
      <c r="H45" s="67">
        <f>SUM(G35:R35)</f>
        <v>495900</v>
      </c>
      <c r="I45" s="67">
        <f t="shared" ref="I45:AK45" si="7">$G$12*$G$18*$M$13*(1+$M$16)^H39*12</f>
        <v>635256</v>
      </c>
      <c r="J45" s="67">
        <f t="shared" si="7"/>
        <v>647961.12</v>
      </c>
      <c r="K45" s="67">
        <f t="shared" si="7"/>
        <v>660920.34239999996</v>
      </c>
      <c r="L45" s="67">
        <f t="shared" si="7"/>
        <v>674138.74924799998</v>
      </c>
      <c r="M45" s="67">
        <f t="shared" si="7"/>
        <v>687621.52423296007</v>
      </c>
      <c r="N45" s="67">
        <f t="shared" si="7"/>
        <v>701373.95471761923</v>
      </c>
      <c r="O45" s="67">
        <f t="shared" si="7"/>
        <v>715401.43381197145</v>
      </c>
      <c r="P45" s="67">
        <f t="shared" si="7"/>
        <v>729709.46248821099</v>
      </c>
      <c r="Q45" s="67">
        <f t="shared" si="7"/>
        <v>744303.65173797519</v>
      </c>
      <c r="R45" s="67">
        <f t="shared" si="7"/>
        <v>759189.7247727348</v>
      </c>
      <c r="S45" s="67">
        <f t="shared" si="7"/>
        <v>774373.51926818932</v>
      </c>
      <c r="T45" s="246">
        <f t="shared" si="7"/>
        <v>789860.98965355312</v>
      </c>
      <c r="U45" s="67">
        <f t="shared" si="7"/>
        <v>805658.20944662415</v>
      </c>
      <c r="V45" s="67">
        <f t="shared" si="7"/>
        <v>821771.37363555678</v>
      </c>
      <c r="W45" s="67">
        <f t="shared" si="7"/>
        <v>838206.80110826762</v>
      </c>
      <c r="X45" s="67">
        <f t="shared" si="7"/>
        <v>854970.93713043316</v>
      </c>
      <c r="Y45" s="67">
        <f t="shared" si="7"/>
        <v>872070.35587304202</v>
      </c>
      <c r="Z45" s="67">
        <f t="shared" si="7"/>
        <v>889511.76299050264</v>
      </c>
      <c r="AA45" s="67">
        <f t="shared" si="7"/>
        <v>907301.99825031264</v>
      </c>
      <c r="AB45" s="67">
        <f t="shared" si="7"/>
        <v>925448.03821531904</v>
      </c>
      <c r="AC45" s="67">
        <f t="shared" si="7"/>
        <v>943956.99897962529</v>
      </c>
      <c r="AD45" s="67">
        <f t="shared" si="7"/>
        <v>962836.13895921782</v>
      </c>
      <c r="AE45" s="67">
        <f t="shared" si="7"/>
        <v>982092.86173840205</v>
      </c>
      <c r="AF45" s="67">
        <f t="shared" si="7"/>
        <v>1001734.7189731702</v>
      </c>
      <c r="AG45" s="67">
        <f t="shared" si="7"/>
        <v>1021769.4133526335</v>
      </c>
      <c r="AH45" s="67">
        <f t="shared" si="7"/>
        <v>1042204.8016196864</v>
      </c>
      <c r="AI45" s="67">
        <f t="shared" si="7"/>
        <v>1063048.8976520798</v>
      </c>
      <c r="AJ45" s="67">
        <f t="shared" si="7"/>
        <v>1084309.8756051217</v>
      </c>
      <c r="AK45" s="67">
        <f t="shared" si="7"/>
        <v>1105996.073117224</v>
      </c>
    </row>
    <row r="46" spans="1:37">
      <c r="B46" s="63" t="s">
        <v>517</v>
      </c>
      <c r="G46" s="67"/>
      <c r="H46" s="67">
        <f>SUM(G36:R36)</f>
        <v>421515</v>
      </c>
      <c r="I46" s="67">
        <f t="shared" ref="I46:AK46" si="8">$G$12*$G$19*$M$14*(1+$M$16)^H39*12</f>
        <v>539967.60000000009</v>
      </c>
      <c r="J46" s="67">
        <f t="shared" si="8"/>
        <v>550766.95200000005</v>
      </c>
      <c r="K46" s="67">
        <f t="shared" si="8"/>
        <v>561782.29103999992</v>
      </c>
      <c r="L46" s="67">
        <f t="shared" si="8"/>
        <v>573017.93686080002</v>
      </c>
      <c r="M46" s="67">
        <f t="shared" si="8"/>
        <v>584478.295598016</v>
      </c>
      <c r="N46" s="67">
        <f t="shared" si="8"/>
        <v>596167.86150997633</v>
      </c>
      <c r="O46" s="67">
        <f t="shared" si="8"/>
        <v>608091.21874017571</v>
      </c>
      <c r="P46" s="67">
        <f t="shared" si="8"/>
        <v>620253.04311497929</v>
      </c>
      <c r="Q46" s="67">
        <f t="shared" si="8"/>
        <v>632658.10397727892</v>
      </c>
      <c r="R46" s="67">
        <f t="shared" si="8"/>
        <v>645311.26605682448</v>
      </c>
      <c r="S46" s="67">
        <f t="shared" si="8"/>
        <v>658217.49137796089</v>
      </c>
      <c r="T46" s="246">
        <f t="shared" si="8"/>
        <v>671381.84120552021</v>
      </c>
      <c r="U46" s="67">
        <f t="shared" si="8"/>
        <v>684809.47802963061</v>
      </c>
      <c r="V46" s="67">
        <f t="shared" si="8"/>
        <v>698505.66759022325</v>
      </c>
      <c r="W46" s="67">
        <f t="shared" si="8"/>
        <v>712475.78094202746</v>
      </c>
      <c r="X46" s="67">
        <f t="shared" si="8"/>
        <v>726725.29656086816</v>
      </c>
      <c r="Y46" s="67">
        <f t="shared" si="8"/>
        <v>741259.80249208561</v>
      </c>
      <c r="Z46" s="67">
        <f t="shared" si="8"/>
        <v>756084.99854192731</v>
      </c>
      <c r="AA46" s="67">
        <f t="shared" si="8"/>
        <v>771206.69851276581</v>
      </c>
      <c r="AB46" s="67">
        <f t="shared" si="8"/>
        <v>786630.83248302108</v>
      </c>
      <c r="AC46" s="67">
        <f t="shared" si="8"/>
        <v>802363.44913268159</v>
      </c>
      <c r="AD46" s="67">
        <f t="shared" si="8"/>
        <v>818410.71811533533</v>
      </c>
      <c r="AE46" s="67">
        <f t="shared" si="8"/>
        <v>834778.93247764185</v>
      </c>
      <c r="AF46" s="67">
        <f t="shared" si="8"/>
        <v>851474.51112719462</v>
      </c>
      <c r="AG46" s="67">
        <f t="shared" si="8"/>
        <v>868504.00134973857</v>
      </c>
      <c r="AH46" s="67">
        <f t="shared" si="8"/>
        <v>885874.08137673326</v>
      </c>
      <c r="AI46" s="67">
        <f t="shared" si="8"/>
        <v>903591.56300426787</v>
      </c>
      <c r="AJ46" s="67">
        <f t="shared" si="8"/>
        <v>921663.39426435344</v>
      </c>
      <c r="AK46" s="67">
        <f t="shared" si="8"/>
        <v>940096.66214964038</v>
      </c>
    </row>
    <row r="47" spans="1:37">
      <c r="B47" s="87" t="s">
        <v>518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246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</row>
    <row r="48" spans="1:37">
      <c r="B48" s="63" t="s">
        <v>519</v>
      </c>
      <c r="G48" s="67"/>
      <c r="H48" s="67">
        <f t="shared" ref="H48:AK48" si="9">$G$20*$M$23*(1+$M$16)^G39</f>
        <v>110720</v>
      </c>
      <c r="I48" s="67">
        <f t="shared" si="9"/>
        <v>112934.40000000001</v>
      </c>
      <c r="J48" s="67">
        <f t="shared" si="9"/>
        <v>115193.088</v>
      </c>
      <c r="K48" s="67">
        <f t="shared" si="9"/>
        <v>117496.94975999999</v>
      </c>
      <c r="L48" s="67">
        <f t="shared" si="9"/>
        <v>119846.88875519999</v>
      </c>
      <c r="M48" s="67">
        <f t="shared" si="9"/>
        <v>122243.826530304</v>
      </c>
      <c r="N48" s="67">
        <f t="shared" si="9"/>
        <v>124688.70306091009</v>
      </c>
      <c r="O48" s="67">
        <f t="shared" si="9"/>
        <v>127182.47712212826</v>
      </c>
      <c r="P48" s="67">
        <f t="shared" si="9"/>
        <v>129726.12666457084</v>
      </c>
      <c r="Q48" s="67">
        <f t="shared" si="9"/>
        <v>132320.64919786225</v>
      </c>
      <c r="R48" s="67">
        <f t="shared" si="9"/>
        <v>134967.06218181949</v>
      </c>
      <c r="S48" s="67">
        <f t="shared" si="9"/>
        <v>137666.40342545588</v>
      </c>
      <c r="T48" s="246">
        <f t="shared" si="9"/>
        <v>140419.73149396502</v>
      </c>
      <c r="U48" s="67">
        <f t="shared" si="9"/>
        <v>143228.1261238443</v>
      </c>
      <c r="V48" s="67">
        <f t="shared" si="9"/>
        <v>146092.68864632121</v>
      </c>
      <c r="W48" s="67">
        <f t="shared" si="9"/>
        <v>149014.54241924759</v>
      </c>
      <c r="X48" s="67">
        <f t="shared" si="9"/>
        <v>151994.83326763255</v>
      </c>
      <c r="Y48" s="67">
        <f t="shared" si="9"/>
        <v>155034.72993298524</v>
      </c>
      <c r="Z48" s="67">
        <f t="shared" si="9"/>
        <v>158135.42453164491</v>
      </c>
      <c r="AA48" s="67">
        <f t="shared" si="9"/>
        <v>161298.13302227782</v>
      </c>
      <c r="AB48" s="67">
        <f t="shared" si="9"/>
        <v>164524.09568272339</v>
      </c>
      <c r="AC48" s="67">
        <f t="shared" si="9"/>
        <v>167814.57759637784</v>
      </c>
      <c r="AD48" s="67">
        <f t="shared" si="9"/>
        <v>171170.86914830541</v>
      </c>
      <c r="AE48" s="67">
        <f t="shared" si="9"/>
        <v>174594.28653127147</v>
      </c>
      <c r="AF48" s="67">
        <f t="shared" si="9"/>
        <v>178086.17226189692</v>
      </c>
      <c r="AG48" s="67">
        <f t="shared" si="9"/>
        <v>181647.89570713486</v>
      </c>
      <c r="AH48" s="67">
        <f t="shared" si="9"/>
        <v>185280.85362127758</v>
      </c>
      <c r="AI48" s="67">
        <f t="shared" si="9"/>
        <v>188986.4706937031</v>
      </c>
      <c r="AJ48" s="67">
        <f t="shared" si="9"/>
        <v>192766.2001075772</v>
      </c>
      <c r="AK48" s="67">
        <f t="shared" si="9"/>
        <v>196621.52410972869</v>
      </c>
    </row>
    <row r="49" spans="2:37">
      <c r="B49" s="84" t="s">
        <v>520</v>
      </c>
      <c r="C49" s="84"/>
      <c r="D49" s="84"/>
      <c r="E49" s="84"/>
      <c r="F49" s="84"/>
      <c r="G49" s="85"/>
      <c r="H49" s="85">
        <f t="shared" ref="H49:AK49" si="10">SUM(H43:H48)</f>
        <v>1028135</v>
      </c>
      <c r="I49" s="85">
        <f t="shared" si="10"/>
        <v>1288158</v>
      </c>
      <c r="J49" s="85">
        <f t="shared" si="10"/>
        <v>1313921.1600000001</v>
      </c>
      <c r="K49" s="85">
        <f t="shared" si="10"/>
        <v>1340199.5832</v>
      </c>
      <c r="L49" s="85">
        <f t="shared" si="10"/>
        <v>1367003.5748640001</v>
      </c>
      <c r="M49" s="85">
        <f t="shared" si="10"/>
        <v>1394343.64636128</v>
      </c>
      <c r="N49" s="85">
        <f t="shared" si="10"/>
        <v>1422230.5192885057</v>
      </c>
      <c r="O49" s="85">
        <f t="shared" si="10"/>
        <v>1450675.1296742754</v>
      </c>
      <c r="P49" s="85">
        <f t="shared" si="10"/>
        <v>1479688.632267761</v>
      </c>
      <c r="Q49" s="85">
        <f t="shared" si="10"/>
        <v>1509282.4049131165</v>
      </c>
      <c r="R49" s="85">
        <f t="shared" si="10"/>
        <v>1539468.0530113787</v>
      </c>
      <c r="S49" s="85">
        <f t="shared" si="10"/>
        <v>1570257.414071606</v>
      </c>
      <c r="T49" s="247">
        <f t="shared" si="10"/>
        <v>1601662.5623530385</v>
      </c>
      <c r="U49" s="85">
        <f t="shared" si="10"/>
        <v>1633695.8136000992</v>
      </c>
      <c r="V49" s="85">
        <f t="shared" si="10"/>
        <v>1666369.7298721012</v>
      </c>
      <c r="W49" s="85">
        <f t="shared" si="10"/>
        <v>1699697.1244695426</v>
      </c>
      <c r="X49" s="85">
        <f t="shared" si="10"/>
        <v>1733691.0669589338</v>
      </c>
      <c r="Y49" s="85">
        <f t="shared" si="10"/>
        <v>1768364.8882981129</v>
      </c>
      <c r="Z49" s="85">
        <f t="shared" si="10"/>
        <v>1803732.186064075</v>
      </c>
      <c r="AA49" s="85">
        <f t="shared" si="10"/>
        <v>1839806.8297853563</v>
      </c>
      <c r="AB49" s="85">
        <f t="shared" si="10"/>
        <v>1876602.9663810637</v>
      </c>
      <c r="AC49" s="85">
        <f t="shared" si="10"/>
        <v>1914135.0257086847</v>
      </c>
      <c r="AD49" s="85">
        <f t="shared" si="10"/>
        <v>1952417.7262228585</v>
      </c>
      <c r="AE49" s="85">
        <f t="shared" si="10"/>
        <v>1991466.0807473152</v>
      </c>
      <c r="AF49" s="85">
        <f t="shared" si="10"/>
        <v>2031295.4023622619</v>
      </c>
      <c r="AG49" s="85">
        <f t="shared" si="10"/>
        <v>2071921.310409507</v>
      </c>
      <c r="AH49" s="85">
        <f t="shared" si="10"/>
        <v>2113359.7366176974</v>
      </c>
      <c r="AI49" s="85">
        <f t="shared" si="10"/>
        <v>2155626.931350051</v>
      </c>
      <c r="AJ49" s="85">
        <f t="shared" si="10"/>
        <v>2198739.4699770524</v>
      </c>
      <c r="AK49" s="85">
        <f t="shared" si="10"/>
        <v>2242714.2593765929</v>
      </c>
    </row>
    <row r="50" spans="2:37"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246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</row>
    <row r="51" spans="2:37">
      <c r="B51" s="78" t="s">
        <v>521</v>
      </c>
      <c r="C51" s="78"/>
      <c r="D51" s="78"/>
      <c r="E51" s="78"/>
      <c r="F51" s="78"/>
      <c r="G51" s="78"/>
      <c r="H51" s="80">
        <f t="shared" ref="H51:AK51" si="11">-(1-H40)*SUM(H45:H46)</f>
        <v>-18348.300000000017</v>
      </c>
      <c r="I51" s="80">
        <f t="shared" si="11"/>
        <v>-23504.472000000023</v>
      </c>
      <c r="J51" s="80">
        <f t="shared" si="11"/>
        <v>-23974.561440000023</v>
      </c>
      <c r="K51" s="80">
        <f t="shared" si="11"/>
        <v>-24454.052668800021</v>
      </c>
      <c r="L51" s="80">
        <f t="shared" si="11"/>
        <v>-24943.133722176026</v>
      </c>
      <c r="M51" s="80">
        <f t="shared" si="11"/>
        <v>-25441.996396619543</v>
      </c>
      <c r="N51" s="80">
        <f t="shared" si="11"/>
        <v>-25950.836324551936</v>
      </c>
      <c r="O51" s="80">
        <f t="shared" si="11"/>
        <v>-26469.853051042966</v>
      </c>
      <c r="P51" s="80">
        <f t="shared" si="11"/>
        <v>-26999.25011206383</v>
      </c>
      <c r="Q51" s="80">
        <f t="shared" si="11"/>
        <v>-27539.235114305109</v>
      </c>
      <c r="R51" s="80">
        <f t="shared" si="11"/>
        <v>-28090.019816591212</v>
      </c>
      <c r="S51" s="80">
        <f t="shared" si="11"/>
        <v>-28651.82021292303</v>
      </c>
      <c r="T51" s="248">
        <f t="shared" si="11"/>
        <v>-29224.856617181496</v>
      </c>
      <c r="U51" s="80">
        <f t="shared" si="11"/>
        <v>-29809.353749525122</v>
      </c>
      <c r="V51" s="80">
        <f t="shared" si="11"/>
        <v>-30405.540824515629</v>
      </c>
      <c r="W51" s="80">
        <f t="shared" si="11"/>
        <v>-31013.65164100593</v>
      </c>
      <c r="X51" s="80">
        <f t="shared" si="11"/>
        <v>-31633.924673826052</v>
      </c>
      <c r="Y51" s="80">
        <f t="shared" si="11"/>
        <v>-32266.603167302583</v>
      </c>
      <c r="Z51" s="80">
        <f t="shared" si="11"/>
        <v>-32911.935230648633</v>
      </c>
      <c r="AA51" s="80">
        <f t="shared" si="11"/>
        <v>-33570.173935261599</v>
      </c>
      <c r="AB51" s="80">
        <f t="shared" si="11"/>
        <v>-34241.577413966836</v>
      </c>
      <c r="AC51" s="80">
        <f t="shared" si="11"/>
        <v>-34926.408962246169</v>
      </c>
      <c r="AD51" s="80">
        <f t="shared" si="11"/>
        <v>-35624.937141491093</v>
      </c>
      <c r="AE51" s="80">
        <f t="shared" si="11"/>
        <v>-36337.435884320905</v>
      </c>
      <c r="AF51" s="80">
        <f t="shared" si="11"/>
        <v>-37064.184602007328</v>
      </c>
      <c r="AG51" s="80">
        <f t="shared" si="11"/>
        <v>-37805.468294047474</v>
      </c>
      <c r="AH51" s="80">
        <f t="shared" si="11"/>
        <v>-38561.577659928429</v>
      </c>
      <c r="AI51" s="80">
        <f t="shared" si="11"/>
        <v>-39332.809213126988</v>
      </c>
      <c r="AJ51" s="80">
        <f t="shared" si="11"/>
        <v>-40119.46539738954</v>
      </c>
      <c r="AK51" s="80">
        <f t="shared" si="11"/>
        <v>-40921.854705337326</v>
      </c>
    </row>
    <row r="52" spans="2:37">
      <c r="B52" s="63" t="s">
        <v>522</v>
      </c>
      <c r="H52" s="67">
        <f>SUM(H49:H51)</f>
        <v>1009786.7</v>
      </c>
      <c r="I52" s="67">
        <f t="shared" ref="I52:AK52" si="12">SUM(I49:I51)</f>
        <v>1264653.5279999999</v>
      </c>
      <c r="J52" s="67">
        <f t="shared" si="12"/>
        <v>1289946.5985600001</v>
      </c>
      <c r="K52" s="67">
        <f t="shared" si="12"/>
        <v>1315745.5305311999</v>
      </c>
      <c r="L52" s="67">
        <f t="shared" si="12"/>
        <v>1342060.441141824</v>
      </c>
      <c r="M52" s="67">
        <f t="shared" si="12"/>
        <v>1368901.6499646604</v>
      </c>
      <c r="N52" s="67">
        <f t="shared" si="12"/>
        <v>1396279.6829639538</v>
      </c>
      <c r="O52" s="67">
        <f t="shared" si="12"/>
        <v>1424205.2766232325</v>
      </c>
      <c r="P52" s="67">
        <f t="shared" si="12"/>
        <v>1452689.3821556973</v>
      </c>
      <c r="Q52" s="67">
        <f t="shared" si="12"/>
        <v>1481743.1697988114</v>
      </c>
      <c r="R52" s="67">
        <f t="shared" si="12"/>
        <v>1511378.0331947876</v>
      </c>
      <c r="S52" s="67">
        <f t="shared" si="12"/>
        <v>1541605.593858683</v>
      </c>
      <c r="T52" s="246">
        <f t="shared" si="12"/>
        <v>1572437.7057358569</v>
      </c>
      <c r="U52" s="67">
        <f t="shared" si="12"/>
        <v>1603886.4598505741</v>
      </c>
      <c r="V52" s="67">
        <f t="shared" si="12"/>
        <v>1635964.1890475857</v>
      </c>
      <c r="W52" s="67">
        <f t="shared" si="12"/>
        <v>1668683.4728285368</v>
      </c>
      <c r="X52" s="67">
        <f t="shared" si="12"/>
        <v>1702057.1422851079</v>
      </c>
      <c r="Y52" s="67">
        <f t="shared" si="12"/>
        <v>1736098.2851308102</v>
      </c>
      <c r="Z52" s="67">
        <f t="shared" si="12"/>
        <v>1770820.2508334264</v>
      </c>
      <c r="AA52" s="67">
        <f t="shared" si="12"/>
        <v>1806236.6558500947</v>
      </c>
      <c r="AB52" s="67">
        <f t="shared" si="12"/>
        <v>1842361.3889670968</v>
      </c>
      <c r="AC52" s="67">
        <f t="shared" si="12"/>
        <v>1879208.6167464384</v>
      </c>
      <c r="AD52" s="67">
        <f t="shared" si="12"/>
        <v>1916792.7890813674</v>
      </c>
      <c r="AE52" s="67">
        <f t="shared" si="12"/>
        <v>1955128.6448629943</v>
      </c>
      <c r="AF52" s="67">
        <f t="shared" si="12"/>
        <v>1994231.2177602546</v>
      </c>
      <c r="AG52" s="67">
        <f t="shared" si="12"/>
        <v>2034115.8421154595</v>
      </c>
      <c r="AH52" s="67">
        <f t="shared" si="12"/>
        <v>2074798.1589577689</v>
      </c>
      <c r="AI52" s="67">
        <f t="shared" si="12"/>
        <v>2116294.122136924</v>
      </c>
      <c r="AJ52" s="67">
        <f t="shared" si="12"/>
        <v>2158620.0045796628</v>
      </c>
      <c r="AK52" s="67">
        <f t="shared" si="12"/>
        <v>2201792.4046712555</v>
      </c>
    </row>
    <row r="54" spans="2:37">
      <c r="B54" s="63" t="s">
        <v>413</v>
      </c>
      <c r="H54" s="67">
        <f t="shared" ref="H54:AK54" si="13">-($M$19*H52)*(1+$M$20)^G39</f>
        <v>-302936.00999999995</v>
      </c>
      <c r="I54" s="67">
        <f t="shared" si="13"/>
        <v>-386983.97956800001</v>
      </c>
      <c r="J54" s="67">
        <f t="shared" si="13"/>
        <v>-402618.13234254718</v>
      </c>
      <c r="K54" s="67">
        <f t="shared" si="13"/>
        <v>-418883.90488918603</v>
      </c>
      <c r="L54" s="67">
        <f t="shared" si="13"/>
        <v>-435806.81464670919</v>
      </c>
      <c r="M54" s="67">
        <f t="shared" si="13"/>
        <v>-453413.40995843627</v>
      </c>
      <c r="N54" s="67">
        <f t="shared" si="13"/>
        <v>-471731.31172075716</v>
      </c>
      <c r="O54" s="67">
        <f t="shared" si="13"/>
        <v>-490789.25671427551</v>
      </c>
      <c r="P54" s="67">
        <f t="shared" si="13"/>
        <v>-510617.14268553234</v>
      </c>
      <c r="Q54" s="67">
        <f t="shared" si="13"/>
        <v>-531246.07525002793</v>
      </c>
      <c r="R54" s="67">
        <f t="shared" si="13"/>
        <v>-552708.41669012909</v>
      </c>
      <c r="S54" s="67">
        <f t="shared" si="13"/>
        <v>-575037.83672441007</v>
      </c>
      <c r="T54" s="246">
        <f t="shared" si="13"/>
        <v>-598269.36532807641</v>
      </c>
      <c r="U54" s="67">
        <f t="shared" si="13"/>
        <v>-622439.44768733066</v>
      </c>
      <c r="V54" s="67">
        <f t="shared" si="13"/>
        <v>-647586.00137389894</v>
      </c>
      <c r="W54" s="67">
        <f t="shared" si="13"/>
        <v>-673748.47582940396</v>
      </c>
      <c r="X54" s="67">
        <f t="shared" si="13"/>
        <v>-700967.91425291216</v>
      </c>
      <c r="Y54" s="67">
        <f t="shared" si="13"/>
        <v>-729287.01798872999</v>
      </c>
      <c r="Z54" s="67">
        <f t="shared" si="13"/>
        <v>-758750.21351547458</v>
      </c>
      <c r="AA54" s="67">
        <f t="shared" si="13"/>
        <v>-789403.72214149963</v>
      </c>
      <c r="AB54" s="67">
        <f t="shared" si="13"/>
        <v>-821295.63251601625</v>
      </c>
      <c r="AC54" s="67">
        <f t="shared" si="13"/>
        <v>-854475.97606966319</v>
      </c>
      <c r="AD54" s="67">
        <f t="shared" si="13"/>
        <v>-888996.80550287769</v>
      </c>
      <c r="AE54" s="67">
        <f t="shared" si="13"/>
        <v>-924912.27644519357</v>
      </c>
      <c r="AF54" s="67">
        <f t="shared" si="13"/>
        <v>-962278.73241357983</v>
      </c>
      <c r="AG54" s="67">
        <f t="shared" si="13"/>
        <v>-1001154.7932030883</v>
      </c>
      <c r="AH54" s="67">
        <f t="shared" si="13"/>
        <v>-1041601.4468484932</v>
      </c>
      <c r="AI54" s="67">
        <f t="shared" si="13"/>
        <v>-1083682.145301172</v>
      </c>
      <c r="AJ54" s="67">
        <f t="shared" si="13"/>
        <v>-1127462.9039713398</v>
      </c>
      <c r="AK54" s="67">
        <f t="shared" si="13"/>
        <v>-1173012.4052917815</v>
      </c>
    </row>
    <row r="55" spans="2:37">
      <c r="B55" s="63" t="s">
        <v>728</v>
      </c>
      <c r="H55" s="67">
        <f>-($M$21*H52)*(1+$M$20)^G39</f>
        <v>-60587.201999999997</v>
      </c>
      <c r="I55" s="67">
        <f t="shared" ref="I55:AK55" si="14">-($M$21*I52)*(1+$M$20)^H39</f>
        <v>-77396.795913599999</v>
      </c>
      <c r="J55" s="67">
        <f t="shared" si="14"/>
        <v>-80523.626468509436</v>
      </c>
      <c r="K55" s="67">
        <f t="shared" si="14"/>
        <v>-83776.780977837203</v>
      </c>
      <c r="L55" s="67">
        <f t="shared" si="14"/>
        <v>-87161.362929341834</v>
      </c>
      <c r="M55" s="67">
        <f t="shared" si="14"/>
        <v>-90682.681991687263</v>
      </c>
      <c r="N55" s="67">
        <f t="shared" si="14"/>
        <v>-94346.262344151444</v>
      </c>
      <c r="O55" s="67">
        <f t="shared" si="14"/>
        <v>-98157.851342855094</v>
      </c>
      <c r="P55" s="67">
        <f t="shared" si="14"/>
        <v>-102123.42853710646</v>
      </c>
      <c r="Q55" s="67">
        <f t="shared" si="14"/>
        <v>-106249.21505000559</v>
      </c>
      <c r="R55" s="67">
        <f t="shared" si="14"/>
        <v>-110541.6833380258</v>
      </c>
      <c r="S55" s="67">
        <f t="shared" si="14"/>
        <v>-115007.56734488202</v>
      </c>
      <c r="T55" s="67">
        <f t="shared" si="14"/>
        <v>-119653.87306561528</v>
      </c>
      <c r="U55" s="67">
        <f t="shared" si="14"/>
        <v>-124487.88953746612</v>
      </c>
      <c r="V55" s="67">
        <f t="shared" si="14"/>
        <v>-129517.20027477978</v>
      </c>
      <c r="W55" s="67">
        <f t="shared" si="14"/>
        <v>-134749.69516588081</v>
      </c>
      <c r="X55" s="67">
        <f t="shared" si="14"/>
        <v>-140193.58285058243</v>
      </c>
      <c r="Y55" s="67">
        <f t="shared" si="14"/>
        <v>-145857.40359774599</v>
      </c>
      <c r="Z55" s="67">
        <f t="shared" si="14"/>
        <v>-151750.04270309489</v>
      </c>
      <c r="AA55" s="67">
        <f t="shared" si="14"/>
        <v>-157880.74442829992</v>
      </c>
      <c r="AB55" s="67">
        <f t="shared" si="14"/>
        <v>-164259.12650320327</v>
      </c>
      <c r="AC55" s="67">
        <f t="shared" si="14"/>
        <v>-170895.19521393266</v>
      </c>
      <c r="AD55" s="67">
        <f t="shared" si="14"/>
        <v>-177799.36110057557</v>
      </c>
      <c r="AE55" s="67">
        <f t="shared" si="14"/>
        <v>-184982.45528903871</v>
      </c>
      <c r="AF55" s="67">
        <f t="shared" si="14"/>
        <v>-192455.74648271594</v>
      </c>
      <c r="AG55" s="67">
        <f t="shared" si="14"/>
        <v>-200230.95864061764</v>
      </c>
      <c r="AH55" s="67">
        <f t="shared" si="14"/>
        <v>-208320.28936969864</v>
      </c>
      <c r="AI55" s="67">
        <f t="shared" si="14"/>
        <v>-216736.4290602344</v>
      </c>
      <c r="AJ55" s="67">
        <f t="shared" si="14"/>
        <v>-225492.58079426797</v>
      </c>
      <c r="AK55" s="67">
        <f t="shared" si="14"/>
        <v>-234602.48105835626</v>
      </c>
    </row>
    <row r="56" spans="2:37">
      <c r="B56" s="63" t="s">
        <v>523</v>
      </c>
      <c r="H56" s="67">
        <f t="shared" ref="H56:AK56" si="15">-H52*$M$22</f>
        <v>-20195.734</v>
      </c>
      <c r="I56" s="67">
        <f t="shared" si="15"/>
        <v>-25293.07056</v>
      </c>
      <c r="J56" s="67">
        <f t="shared" si="15"/>
        <v>-25798.931971200003</v>
      </c>
      <c r="K56" s="67">
        <f t="shared" si="15"/>
        <v>-26314.910610624</v>
      </c>
      <c r="L56" s="67">
        <f t="shared" si="15"/>
        <v>-26841.208822836481</v>
      </c>
      <c r="M56" s="67">
        <f t="shared" si="15"/>
        <v>-27378.032999293209</v>
      </c>
      <c r="N56" s="67">
        <f t="shared" si="15"/>
        <v>-27925.593659279079</v>
      </c>
      <c r="O56" s="67">
        <f t="shared" si="15"/>
        <v>-28484.105532464651</v>
      </c>
      <c r="P56" s="67">
        <f t="shared" si="15"/>
        <v>-29053.787643113948</v>
      </c>
      <c r="Q56" s="67">
        <f t="shared" si="15"/>
        <v>-29634.86339597623</v>
      </c>
      <c r="R56" s="67">
        <f t="shared" si="15"/>
        <v>-30227.560663895751</v>
      </c>
      <c r="S56" s="67">
        <f t="shared" si="15"/>
        <v>-30832.111877173662</v>
      </c>
      <c r="T56" s="246">
        <f t="shared" si="15"/>
        <v>-31448.75411471714</v>
      </c>
      <c r="U56" s="67">
        <f t="shared" si="15"/>
        <v>-32077.729197011482</v>
      </c>
      <c r="V56" s="67">
        <f t="shared" si="15"/>
        <v>-32719.283780951715</v>
      </c>
      <c r="W56" s="67">
        <f t="shared" si="15"/>
        <v>-33373.669456570737</v>
      </c>
      <c r="X56" s="67">
        <f t="shared" si="15"/>
        <v>-34041.142845702161</v>
      </c>
      <c r="Y56" s="67">
        <f t="shared" si="15"/>
        <v>-34721.965702616202</v>
      </c>
      <c r="Z56" s="67">
        <f t="shared" si="15"/>
        <v>-35416.405016668527</v>
      </c>
      <c r="AA56" s="67">
        <f t="shared" si="15"/>
        <v>-36124.733117001895</v>
      </c>
      <c r="AB56" s="67">
        <f t="shared" si="15"/>
        <v>-36847.227779341934</v>
      </c>
      <c r="AC56" s="67">
        <f t="shared" si="15"/>
        <v>-37584.172334928771</v>
      </c>
      <c r="AD56" s="67">
        <f t="shared" si="15"/>
        <v>-38335.855781627346</v>
      </c>
      <c r="AE56" s="67">
        <f t="shared" si="15"/>
        <v>-39102.572897259888</v>
      </c>
      <c r="AF56" s="67">
        <f t="shared" si="15"/>
        <v>-39884.624355205095</v>
      </c>
      <c r="AG56" s="67">
        <f t="shared" si="15"/>
        <v>-40682.316842309192</v>
      </c>
      <c r="AH56" s="67">
        <f t="shared" si="15"/>
        <v>-41495.963179155377</v>
      </c>
      <c r="AI56" s="67">
        <f t="shared" si="15"/>
        <v>-42325.882442738482</v>
      </c>
      <c r="AJ56" s="67">
        <f t="shared" si="15"/>
        <v>-43172.400091593256</v>
      </c>
      <c r="AK56" s="67">
        <f t="shared" si="15"/>
        <v>-44035.848093425113</v>
      </c>
    </row>
    <row r="57" spans="2:37">
      <c r="B57" s="84" t="s">
        <v>524</v>
      </c>
      <c r="C57" s="84"/>
      <c r="D57" s="84"/>
      <c r="E57" s="84"/>
      <c r="F57" s="84"/>
      <c r="G57" s="84"/>
      <c r="H57" s="85">
        <f t="shared" ref="H57:R57" si="16">SUM(H52:H56)</f>
        <v>626067.75399999984</v>
      </c>
      <c r="I57" s="85">
        <f t="shared" si="16"/>
        <v>774979.68195839995</v>
      </c>
      <c r="J57" s="85">
        <f t="shared" si="16"/>
        <v>781005.90777774341</v>
      </c>
      <c r="K57" s="85">
        <f t="shared" si="16"/>
        <v>786769.93405355269</v>
      </c>
      <c r="L57" s="85">
        <f t="shared" si="16"/>
        <v>792251.05474293639</v>
      </c>
      <c r="M57" s="85">
        <f t="shared" si="16"/>
        <v>797427.52501524368</v>
      </c>
      <c r="N57" s="85">
        <f t="shared" si="16"/>
        <v>802276.51523976622</v>
      </c>
      <c r="O57" s="85">
        <f t="shared" si="16"/>
        <v>806774.06303363713</v>
      </c>
      <c r="P57" s="85">
        <f t="shared" si="16"/>
        <v>810895.02328994451</v>
      </c>
      <c r="Q57" s="85">
        <f t="shared" si="16"/>
        <v>814613.01610280166</v>
      </c>
      <c r="R57" s="85">
        <f t="shared" si="16"/>
        <v>817900.37250273686</v>
      </c>
      <c r="S57" s="85">
        <f t="shared" ref="S57:AK57" si="17">SUM(S52:S56)</f>
        <v>820728.07791221724</v>
      </c>
      <c r="T57" s="247">
        <f t="shared" si="17"/>
        <v>823065.71322744805</v>
      </c>
      <c r="U57" s="85">
        <f t="shared" si="17"/>
        <v>824881.39342876594</v>
      </c>
      <c r="V57" s="85">
        <f t="shared" si="17"/>
        <v>826141.70361795521</v>
      </c>
      <c r="W57" s="85">
        <f t="shared" si="17"/>
        <v>826811.6323766812</v>
      </c>
      <c r="X57" s="85">
        <f t="shared" si="17"/>
        <v>826854.50233591115</v>
      </c>
      <c r="Y57" s="85">
        <f t="shared" si="17"/>
        <v>826231.89784171805</v>
      </c>
      <c r="Z57" s="85">
        <f t="shared" si="17"/>
        <v>824903.58959818841</v>
      </c>
      <c r="AA57" s="85">
        <f t="shared" si="17"/>
        <v>822827.45616329322</v>
      </c>
      <c r="AB57" s="85">
        <f t="shared" si="17"/>
        <v>819959.40216853528</v>
      </c>
      <c r="AC57" s="85">
        <f t="shared" si="17"/>
        <v>816253.27312791382</v>
      </c>
      <c r="AD57" s="85">
        <f t="shared" si="17"/>
        <v>811660.76669628685</v>
      </c>
      <c r="AE57" s="85">
        <f t="shared" si="17"/>
        <v>806131.3402315022</v>
      </c>
      <c r="AF57" s="85">
        <f t="shared" si="17"/>
        <v>799612.11450875376</v>
      </c>
      <c r="AG57" s="85">
        <f t="shared" si="17"/>
        <v>792047.77342944429</v>
      </c>
      <c r="AH57" s="85">
        <f t="shared" si="17"/>
        <v>783380.45956042176</v>
      </c>
      <c r="AI57" s="85">
        <f t="shared" si="17"/>
        <v>773549.66533277894</v>
      </c>
      <c r="AJ57" s="85">
        <f t="shared" si="17"/>
        <v>762492.11972246179</v>
      </c>
      <c r="AK57" s="85">
        <f t="shared" si="17"/>
        <v>750141.67022769258</v>
      </c>
    </row>
    <row r="59" spans="2:37">
      <c r="B59" s="63" t="s">
        <v>525</v>
      </c>
      <c r="H59" s="67">
        <f t="shared" ref="H59:AK59" si="18">IF(H39=$M$25,I57/$M$27,0)</f>
        <v>0</v>
      </c>
      <c r="I59" s="67">
        <f t="shared" si="18"/>
        <v>0</v>
      </c>
      <c r="J59" s="67">
        <f t="shared" si="18"/>
        <v>0</v>
      </c>
      <c r="K59" s="67">
        <f t="shared" si="18"/>
        <v>0</v>
      </c>
      <c r="L59" s="67">
        <f t="shared" si="18"/>
        <v>0</v>
      </c>
      <c r="M59" s="67">
        <f t="shared" si="18"/>
        <v>0</v>
      </c>
      <c r="N59" s="67">
        <f t="shared" si="18"/>
        <v>0</v>
      </c>
      <c r="O59" s="67">
        <f t="shared" si="18"/>
        <v>0</v>
      </c>
      <c r="P59" s="67">
        <f t="shared" si="18"/>
        <v>0</v>
      </c>
      <c r="Q59" s="67">
        <f t="shared" si="18"/>
        <v>14605363.79469173</v>
      </c>
      <c r="R59" s="67">
        <f t="shared" si="18"/>
        <v>0</v>
      </c>
      <c r="S59" s="67">
        <f t="shared" si="18"/>
        <v>0</v>
      </c>
      <c r="T59" s="246">
        <f t="shared" si="18"/>
        <v>0</v>
      </c>
      <c r="U59" s="67">
        <f t="shared" si="18"/>
        <v>0</v>
      </c>
      <c r="V59" s="67">
        <f t="shared" si="18"/>
        <v>0</v>
      </c>
      <c r="W59" s="67">
        <f t="shared" si="18"/>
        <v>0</v>
      </c>
      <c r="X59" s="67">
        <f t="shared" si="18"/>
        <v>0</v>
      </c>
      <c r="Y59" s="67">
        <f t="shared" si="18"/>
        <v>0</v>
      </c>
      <c r="Z59" s="67">
        <f t="shared" si="18"/>
        <v>0</v>
      </c>
      <c r="AA59" s="67">
        <f t="shared" si="18"/>
        <v>0</v>
      </c>
      <c r="AB59" s="67">
        <f t="shared" si="18"/>
        <v>0</v>
      </c>
      <c r="AC59" s="67">
        <f t="shared" si="18"/>
        <v>0</v>
      </c>
      <c r="AD59" s="67">
        <f t="shared" si="18"/>
        <v>0</v>
      </c>
      <c r="AE59" s="67">
        <f t="shared" si="18"/>
        <v>0</v>
      </c>
      <c r="AF59" s="67">
        <f t="shared" si="18"/>
        <v>0</v>
      </c>
      <c r="AG59" s="67">
        <f t="shared" si="18"/>
        <v>0</v>
      </c>
      <c r="AH59" s="67">
        <f t="shared" si="18"/>
        <v>0</v>
      </c>
      <c r="AI59" s="67">
        <f t="shared" si="18"/>
        <v>0</v>
      </c>
      <c r="AJ59" s="67">
        <f t="shared" si="18"/>
        <v>0</v>
      </c>
      <c r="AK59" s="67">
        <f t="shared" si="18"/>
        <v>0</v>
      </c>
    </row>
    <row r="60" spans="2:37">
      <c r="B60" s="78" t="s">
        <v>393</v>
      </c>
      <c r="C60" s="78"/>
      <c r="D60" s="78"/>
      <c r="E60" s="78"/>
      <c r="F60" s="78"/>
      <c r="G60" s="78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248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</row>
    <row r="61" spans="2:37" s="109" customFormat="1">
      <c r="B61" s="109" t="s">
        <v>526</v>
      </c>
      <c r="G61" s="110">
        <f t="shared" ref="G61:AK61" ca="1" si="19">IF(G39&lt;=$M$25,SUM(G57,G59:G60,G42),0)</f>
        <v>-58957847.957609154</v>
      </c>
      <c r="H61" s="110">
        <f t="shared" si="19"/>
        <v>626067.75399999984</v>
      </c>
      <c r="I61" s="110">
        <f t="shared" si="19"/>
        <v>774979.68195839995</v>
      </c>
      <c r="J61" s="110">
        <f t="shared" si="19"/>
        <v>781005.90777774341</v>
      </c>
      <c r="K61" s="110">
        <f t="shared" si="19"/>
        <v>786769.93405355269</v>
      </c>
      <c r="L61" s="110">
        <f t="shared" si="19"/>
        <v>792251.05474293639</v>
      </c>
      <c r="M61" s="110">
        <f t="shared" si="19"/>
        <v>797427.52501524368</v>
      </c>
      <c r="N61" s="110">
        <f t="shared" si="19"/>
        <v>802276.51523976622</v>
      </c>
      <c r="O61" s="110">
        <f t="shared" si="19"/>
        <v>806774.06303363713</v>
      </c>
      <c r="P61" s="110">
        <f t="shared" si="19"/>
        <v>810895.02328994451</v>
      </c>
      <c r="Q61" s="110">
        <f t="shared" si="19"/>
        <v>15419976.810794532</v>
      </c>
      <c r="R61" s="110">
        <f t="shared" si="19"/>
        <v>0</v>
      </c>
      <c r="S61" s="110">
        <f t="shared" si="19"/>
        <v>0</v>
      </c>
      <c r="T61" s="249">
        <f t="shared" si="19"/>
        <v>0</v>
      </c>
      <c r="U61" s="110">
        <f t="shared" si="19"/>
        <v>0</v>
      </c>
      <c r="V61" s="110">
        <f t="shared" si="19"/>
        <v>0</v>
      </c>
      <c r="W61" s="110">
        <f t="shared" si="19"/>
        <v>0</v>
      </c>
      <c r="X61" s="110">
        <f t="shared" si="19"/>
        <v>0</v>
      </c>
      <c r="Y61" s="110">
        <f t="shared" si="19"/>
        <v>0</v>
      </c>
      <c r="Z61" s="110">
        <f t="shared" si="19"/>
        <v>0</v>
      </c>
      <c r="AA61" s="110">
        <f t="shared" si="19"/>
        <v>0</v>
      </c>
      <c r="AB61" s="110">
        <f t="shared" si="19"/>
        <v>0</v>
      </c>
      <c r="AC61" s="110">
        <f t="shared" si="19"/>
        <v>0</v>
      </c>
      <c r="AD61" s="110">
        <f t="shared" si="19"/>
        <v>0</v>
      </c>
      <c r="AE61" s="110">
        <f t="shared" si="19"/>
        <v>0</v>
      </c>
      <c r="AF61" s="110">
        <f t="shared" si="19"/>
        <v>0</v>
      </c>
      <c r="AG61" s="110">
        <f t="shared" si="19"/>
        <v>0</v>
      </c>
      <c r="AH61" s="110">
        <f t="shared" si="19"/>
        <v>0</v>
      </c>
      <c r="AI61" s="110">
        <f t="shared" si="19"/>
        <v>0</v>
      </c>
      <c r="AJ61" s="110">
        <f t="shared" si="19"/>
        <v>0</v>
      </c>
      <c r="AK61" s="110">
        <f t="shared" si="19"/>
        <v>0</v>
      </c>
    </row>
    <row r="62" spans="2:37" ht="16.2" thickBot="1"/>
    <row r="63" spans="2:37">
      <c r="B63" s="89" t="s">
        <v>527</v>
      </c>
      <c r="C63" s="90"/>
      <c r="D63" s="90"/>
      <c r="E63" s="90"/>
      <c r="F63" s="91">
        <f ca="1">SUM(G61:R61)</f>
        <v>-36559423.687703393</v>
      </c>
    </row>
    <row r="64" spans="2:37">
      <c r="B64" s="92" t="s">
        <v>528</v>
      </c>
      <c r="F64" s="93">
        <f>NPV(M26,H61:R61)</f>
        <v>11936184.758628407</v>
      </c>
    </row>
    <row r="65" spans="2:37">
      <c r="B65" s="92" t="s">
        <v>529</v>
      </c>
      <c r="F65" s="93">
        <f ca="1">F64+G61</f>
        <v>-47021663.198980749</v>
      </c>
      <c r="G65" s="73"/>
    </row>
    <row r="66" spans="2:37">
      <c r="B66" s="92" t="s">
        <v>530</v>
      </c>
      <c r="F66" s="94">
        <f ca="1">IRR(G61:R61)</f>
        <v>-0.10397402400883027</v>
      </c>
    </row>
    <row r="67" spans="2:37" ht="16.2" thickBot="1">
      <c r="B67" s="95" t="s">
        <v>531</v>
      </c>
      <c r="C67" s="96"/>
      <c r="D67" s="96"/>
      <c r="E67" s="96"/>
      <c r="F67" s="97">
        <f ca="1">(F63/-G61)+1</f>
        <v>0.37990573003971051</v>
      </c>
    </row>
    <row r="69" spans="2:37">
      <c r="B69" s="63" t="s">
        <v>532</v>
      </c>
      <c r="G69" s="67">
        <f ca="1">R25</f>
        <v>41270493.570326403</v>
      </c>
    </row>
    <row r="70" spans="2:37">
      <c r="B70" s="63" t="s">
        <v>533</v>
      </c>
      <c r="H70" s="73">
        <f t="shared" ref="H70:AK70" si="20">IF(H39=$M$25,FV($R$13/12,H39*12,$R$15,$R$12,0),0)</f>
        <v>0</v>
      </c>
      <c r="I70" s="73">
        <f t="shared" si="20"/>
        <v>0</v>
      </c>
      <c r="J70" s="73">
        <f t="shared" si="20"/>
        <v>0</v>
      </c>
      <c r="K70" s="73">
        <f t="shared" si="20"/>
        <v>0</v>
      </c>
      <c r="L70" s="73">
        <f t="shared" si="20"/>
        <v>0</v>
      </c>
      <c r="M70" s="73">
        <f t="shared" si="20"/>
        <v>0</v>
      </c>
      <c r="N70" s="73">
        <f t="shared" si="20"/>
        <v>0</v>
      </c>
      <c r="O70" s="67">
        <f t="shared" si="20"/>
        <v>0</v>
      </c>
      <c r="P70" s="73">
        <f t="shared" si="20"/>
        <v>0</v>
      </c>
      <c r="Q70" s="67">
        <f t="shared" ca="1" si="20"/>
        <v>-26254269.329868801</v>
      </c>
      <c r="R70" s="73">
        <f t="shared" si="20"/>
        <v>0</v>
      </c>
      <c r="S70" s="73">
        <f t="shared" si="20"/>
        <v>0</v>
      </c>
      <c r="T70" s="242">
        <f t="shared" si="20"/>
        <v>0</v>
      </c>
      <c r="U70" s="73">
        <f t="shared" si="20"/>
        <v>0</v>
      </c>
      <c r="V70" s="73">
        <f t="shared" si="20"/>
        <v>0</v>
      </c>
      <c r="W70" s="73">
        <f t="shared" si="20"/>
        <v>0</v>
      </c>
      <c r="X70" s="73">
        <f t="shared" si="20"/>
        <v>0</v>
      </c>
      <c r="Y70" s="73">
        <f t="shared" si="20"/>
        <v>0</v>
      </c>
      <c r="Z70" s="73">
        <f t="shared" si="20"/>
        <v>0</v>
      </c>
      <c r="AA70" s="73">
        <f t="shared" si="20"/>
        <v>0</v>
      </c>
      <c r="AB70" s="73">
        <f t="shared" si="20"/>
        <v>0</v>
      </c>
      <c r="AC70" s="73">
        <f t="shared" si="20"/>
        <v>0</v>
      </c>
      <c r="AD70" s="73">
        <f t="shared" si="20"/>
        <v>0</v>
      </c>
      <c r="AE70" s="73">
        <f t="shared" si="20"/>
        <v>0</v>
      </c>
      <c r="AF70" s="73">
        <f t="shared" si="20"/>
        <v>0</v>
      </c>
      <c r="AG70" s="73">
        <f t="shared" si="20"/>
        <v>0</v>
      </c>
      <c r="AH70" s="73">
        <f t="shared" si="20"/>
        <v>0</v>
      </c>
      <c r="AI70" s="73">
        <f t="shared" si="20"/>
        <v>0</v>
      </c>
      <c r="AJ70" s="73">
        <f t="shared" si="20"/>
        <v>0</v>
      </c>
      <c r="AK70" s="73">
        <f t="shared" si="20"/>
        <v>0</v>
      </c>
    </row>
    <row r="71" spans="2:37">
      <c r="B71" s="63" t="s">
        <v>534</v>
      </c>
      <c r="H71" s="67">
        <f t="shared" ref="H71:AK71" ca="1" si="21">IF(H39&lt;=$M$25,$R$15*12,0)</f>
        <v>-3434765.7927540448</v>
      </c>
      <c r="I71" s="67">
        <f t="shared" ca="1" si="21"/>
        <v>-3434765.7927540448</v>
      </c>
      <c r="J71" s="67">
        <f t="shared" ca="1" si="21"/>
        <v>-3434765.7927540448</v>
      </c>
      <c r="K71" s="67">
        <f t="shared" ca="1" si="21"/>
        <v>-3434765.7927540448</v>
      </c>
      <c r="L71" s="67">
        <f t="shared" ca="1" si="21"/>
        <v>-3434765.7927540448</v>
      </c>
      <c r="M71" s="67">
        <f t="shared" ca="1" si="21"/>
        <v>-3434765.7927540448</v>
      </c>
      <c r="N71" s="67">
        <f t="shared" ca="1" si="21"/>
        <v>-3434765.7927540448</v>
      </c>
      <c r="O71" s="67">
        <f t="shared" ca="1" si="21"/>
        <v>-3434765.7927540448</v>
      </c>
      <c r="P71" s="67">
        <f t="shared" ca="1" si="21"/>
        <v>-3434765.7927540448</v>
      </c>
      <c r="Q71" s="67">
        <f t="shared" ca="1" si="21"/>
        <v>-3434765.7927540448</v>
      </c>
      <c r="R71" s="67">
        <f t="shared" si="21"/>
        <v>0</v>
      </c>
      <c r="S71" s="67">
        <f t="shared" si="21"/>
        <v>0</v>
      </c>
      <c r="T71" s="246">
        <f t="shared" si="21"/>
        <v>0</v>
      </c>
      <c r="U71" s="67">
        <f t="shared" si="21"/>
        <v>0</v>
      </c>
      <c r="V71" s="67">
        <f t="shared" si="21"/>
        <v>0</v>
      </c>
      <c r="W71" s="67">
        <f t="shared" si="21"/>
        <v>0</v>
      </c>
      <c r="X71" s="67">
        <f t="shared" si="21"/>
        <v>0</v>
      </c>
      <c r="Y71" s="67">
        <f t="shared" si="21"/>
        <v>0</v>
      </c>
      <c r="Z71" s="67">
        <f t="shared" si="21"/>
        <v>0</v>
      </c>
      <c r="AA71" s="67">
        <f t="shared" si="21"/>
        <v>0</v>
      </c>
      <c r="AB71" s="67">
        <f t="shared" si="21"/>
        <v>0</v>
      </c>
      <c r="AC71" s="67">
        <f t="shared" si="21"/>
        <v>0</v>
      </c>
      <c r="AD71" s="67">
        <f t="shared" si="21"/>
        <v>0</v>
      </c>
      <c r="AE71" s="67">
        <f t="shared" si="21"/>
        <v>0</v>
      </c>
      <c r="AF71" s="67">
        <f t="shared" si="21"/>
        <v>0</v>
      </c>
      <c r="AG71" s="67">
        <f t="shared" si="21"/>
        <v>0</v>
      </c>
      <c r="AH71" s="67">
        <f t="shared" si="21"/>
        <v>0</v>
      </c>
      <c r="AI71" s="67">
        <f t="shared" si="21"/>
        <v>0</v>
      </c>
      <c r="AJ71" s="67">
        <f t="shared" si="21"/>
        <v>0</v>
      </c>
      <c r="AK71" s="67">
        <f t="shared" si="21"/>
        <v>0</v>
      </c>
    </row>
    <row r="73" spans="2:37" s="109" customFormat="1">
      <c r="B73" s="109" t="s">
        <v>535</v>
      </c>
      <c r="G73" s="110">
        <f ca="1">SUM(G61,G69:G71)</f>
        <v>-17687354.387282752</v>
      </c>
      <c r="H73" s="110">
        <f t="shared" ref="H73:AK73" ca="1" si="22">SUM(H61,H69:H71)</f>
        <v>-2808698.038754045</v>
      </c>
      <c r="I73" s="110">
        <f t="shared" ca="1" si="22"/>
        <v>-2659786.110795645</v>
      </c>
      <c r="J73" s="110">
        <f t="shared" ca="1" si="22"/>
        <v>-2653759.8849763013</v>
      </c>
      <c r="K73" s="110">
        <f t="shared" ca="1" si="22"/>
        <v>-2647995.858700492</v>
      </c>
      <c r="L73" s="110">
        <f t="shared" ca="1" si="22"/>
        <v>-2642514.7380111082</v>
      </c>
      <c r="M73" s="110">
        <f t="shared" ca="1" si="22"/>
        <v>-2637338.267738801</v>
      </c>
      <c r="N73" s="110">
        <f t="shared" ca="1" si="22"/>
        <v>-2632489.2775142784</v>
      </c>
      <c r="O73" s="110">
        <f t="shared" ca="1" si="22"/>
        <v>-2627991.7297204076</v>
      </c>
      <c r="P73" s="110">
        <f t="shared" ca="1" si="22"/>
        <v>-2623870.7694641002</v>
      </c>
      <c r="Q73" s="110">
        <f t="shared" ca="1" si="22"/>
        <v>-14269058.311828313</v>
      </c>
      <c r="R73" s="110">
        <f t="shared" si="22"/>
        <v>0</v>
      </c>
      <c r="S73" s="110">
        <f t="shared" si="22"/>
        <v>0</v>
      </c>
      <c r="T73" s="249">
        <f t="shared" si="22"/>
        <v>0</v>
      </c>
      <c r="U73" s="110">
        <f t="shared" si="22"/>
        <v>0</v>
      </c>
      <c r="V73" s="110">
        <f t="shared" si="22"/>
        <v>0</v>
      </c>
      <c r="W73" s="110">
        <f t="shared" si="22"/>
        <v>0</v>
      </c>
      <c r="X73" s="110">
        <f t="shared" si="22"/>
        <v>0</v>
      </c>
      <c r="Y73" s="110">
        <f t="shared" si="22"/>
        <v>0</v>
      </c>
      <c r="Z73" s="110">
        <f t="shared" si="22"/>
        <v>0</v>
      </c>
      <c r="AA73" s="110">
        <f t="shared" si="22"/>
        <v>0</v>
      </c>
      <c r="AB73" s="110">
        <f t="shared" si="22"/>
        <v>0</v>
      </c>
      <c r="AC73" s="110">
        <f t="shared" si="22"/>
        <v>0</v>
      </c>
      <c r="AD73" s="110">
        <f t="shared" si="22"/>
        <v>0</v>
      </c>
      <c r="AE73" s="110">
        <f t="shared" si="22"/>
        <v>0</v>
      </c>
      <c r="AF73" s="110">
        <f t="shared" si="22"/>
        <v>0</v>
      </c>
      <c r="AG73" s="110">
        <f t="shared" si="22"/>
        <v>0</v>
      </c>
      <c r="AH73" s="110">
        <f t="shared" si="22"/>
        <v>0</v>
      </c>
      <c r="AI73" s="110">
        <f t="shared" si="22"/>
        <v>0</v>
      </c>
      <c r="AJ73" s="110">
        <f t="shared" si="22"/>
        <v>0</v>
      </c>
      <c r="AK73" s="110">
        <f t="shared" si="22"/>
        <v>0</v>
      </c>
    </row>
    <row r="74" spans="2:37" ht="16.2" thickBot="1"/>
    <row r="75" spans="2:37">
      <c r="B75" s="89" t="str">
        <f>B63</f>
        <v>Profit</v>
      </c>
      <c r="C75" s="90"/>
      <c r="D75" s="90"/>
      <c r="E75" s="90"/>
      <c r="F75" s="91">
        <f ca="1">SUM(G73:R73)</f>
        <v>-55890857.374786243</v>
      </c>
    </row>
    <row r="76" spans="2:37">
      <c r="B76" s="92" t="str">
        <f t="shared" ref="B76:B79" si="23">B64</f>
        <v>PV</v>
      </c>
      <c r="F76" s="93">
        <f ca="1">NPV($M$26,H73:R73)</f>
        <v>-23272179.885067537</v>
      </c>
    </row>
    <row r="77" spans="2:37">
      <c r="B77" s="92" t="str">
        <f t="shared" si="23"/>
        <v>NPV</v>
      </c>
      <c r="F77" s="93">
        <f ca="1">F76+G73</f>
        <v>-40959534.272350289</v>
      </c>
    </row>
    <row r="78" spans="2:37">
      <c r="B78" s="92" t="s">
        <v>536</v>
      </c>
      <c r="F78" s="98" t="e">
        <f ca="1">IRR(G73:R73)</f>
        <v>#NUM!</v>
      </c>
    </row>
    <row r="79" spans="2:37" ht="16.2" thickBot="1">
      <c r="B79" s="95" t="str">
        <f t="shared" si="23"/>
        <v>Equity Multiple</v>
      </c>
      <c r="C79" s="96"/>
      <c r="D79" s="96"/>
      <c r="E79" s="96"/>
      <c r="F79" s="97">
        <f ca="1">(F75/-G73)+1</f>
        <v>-2.1599331449463066</v>
      </c>
    </row>
    <row r="81" spans="1:37">
      <c r="A81" s="63" t="s">
        <v>472</v>
      </c>
      <c r="B81" s="262" t="s">
        <v>537</v>
      </c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64"/>
      <c r="T81" s="250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</row>
    <row r="82" spans="1:37">
      <c r="B82" s="63" t="s">
        <v>538</v>
      </c>
      <c r="H82" s="99">
        <f ca="1">-H61/$G$61</f>
        <v>1.0618904449330379E-2</v>
      </c>
      <c r="I82" s="99">
        <f t="shared" ref="I82:AK82" ca="1" si="24">-I61/$G$61</f>
        <v>1.3144639921654067E-2</v>
      </c>
      <c r="J82" s="99">
        <f t="shared" ca="1" si="24"/>
        <v>1.3246852367123181E-2</v>
      </c>
      <c r="K82" s="99">
        <f t="shared" ca="1" si="24"/>
        <v>1.334461757524193E-2</v>
      </c>
      <c r="L82" s="99">
        <f t="shared" ca="1" si="24"/>
        <v>1.3437584345218417E-2</v>
      </c>
      <c r="M82" s="99">
        <f t="shared" ca="1" si="24"/>
        <v>1.3525383857100689E-2</v>
      </c>
      <c r="N82" s="99">
        <f t="shared" ca="1" si="24"/>
        <v>1.3607628891349716E-2</v>
      </c>
      <c r="O82" s="99">
        <f t="shared" ca="1" si="24"/>
        <v>1.368391301551084E-2</v>
      </c>
      <c r="P82" s="99">
        <f t="shared" ca="1" si="24"/>
        <v>1.3753809736627091E-2</v>
      </c>
      <c r="Q82" s="99">
        <f t="shared" ca="1" si="24"/>
        <v>0.26154239588055411</v>
      </c>
      <c r="R82" s="99">
        <f t="shared" ca="1" si="24"/>
        <v>0</v>
      </c>
      <c r="S82" s="99">
        <f t="shared" ca="1" si="24"/>
        <v>0</v>
      </c>
      <c r="T82" s="251">
        <f t="shared" ca="1" si="24"/>
        <v>0</v>
      </c>
      <c r="U82" s="99">
        <f t="shared" ca="1" si="24"/>
        <v>0</v>
      </c>
      <c r="V82" s="99">
        <f t="shared" ca="1" si="24"/>
        <v>0</v>
      </c>
      <c r="W82" s="99">
        <f t="shared" ca="1" si="24"/>
        <v>0</v>
      </c>
      <c r="X82" s="99">
        <f t="shared" ca="1" si="24"/>
        <v>0</v>
      </c>
      <c r="Y82" s="99">
        <f t="shared" ca="1" si="24"/>
        <v>0</v>
      </c>
      <c r="Z82" s="99">
        <f t="shared" ca="1" si="24"/>
        <v>0</v>
      </c>
      <c r="AA82" s="99">
        <f t="shared" ca="1" si="24"/>
        <v>0</v>
      </c>
      <c r="AB82" s="99">
        <f t="shared" ca="1" si="24"/>
        <v>0</v>
      </c>
      <c r="AC82" s="99">
        <f t="shared" ca="1" si="24"/>
        <v>0</v>
      </c>
      <c r="AD82" s="99">
        <f t="shared" ca="1" si="24"/>
        <v>0</v>
      </c>
      <c r="AE82" s="99">
        <f t="shared" ca="1" si="24"/>
        <v>0</v>
      </c>
      <c r="AF82" s="99">
        <f t="shared" ca="1" si="24"/>
        <v>0</v>
      </c>
      <c r="AG82" s="99">
        <f t="shared" ca="1" si="24"/>
        <v>0</v>
      </c>
      <c r="AH82" s="99">
        <f t="shared" ca="1" si="24"/>
        <v>0</v>
      </c>
      <c r="AI82" s="99">
        <f t="shared" ca="1" si="24"/>
        <v>0</v>
      </c>
      <c r="AJ82" s="99">
        <f t="shared" ca="1" si="24"/>
        <v>0</v>
      </c>
      <c r="AK82" s="99">
        <f t="shared" ca="1" si="24"/>
        <v>0</v>
      </c>
    </row>
    <row r="83" spans="1:37">
      <c r="B83" s="63" t="s">
        <v>539</v>
      </c>
      <c r="H83" s="99">
        <f ca="1">-H73/$G$73</f>
        <v>-0.15879695613344558</v>
      </c>
      <c r="I83" s="99">
        <f t="shared" ref="I83:AK83" ca="1" si="25">-I73/$G$73</f>
        <v>-0.15037783789236661</v>
      </c>
      <c r="J83" s="99">
        <f t="shared" ca="1" si="25"/>
        <v>-0.15003712974080288</v>
      </c>
      <c r="K83" s="99">
        <f t="shared" ca="1" si="25"/>
        <v>-0.14971124571374039</v>
      </c>
      <c r="L83" s="99">
        <f t="shared" ca="1" si="25"/>
        <v>-0.14940135648048541</v>
      </c>
      <c r="M83" s="99">
        <f t="shared" ca="1" si="25"/>
        <v>-0.14910869144087785</v>
      </c>
      <c r="N83" s="99">
        <f t="shared" ca="1" si="25"/>
        <v>-0.14883454132671442</v>
      </c>
      <c r="O83" s="99">
        <f t="shared" ca="1" si="25"/>
        <v>-0.14858026091284401</v>
      </c>
      <c r="P83" s="99">
        <f t="shared" ca="1" si="25"/>
        <v>-0.14834727184245652</v>
      </c>
      <c r="Q83" s="99">
        <f t="shared" ca="1" si="25"/>
        <v>-0.80673785346257321</v>
      </c>
      <c r="R83" s="99">
        <f t="shared" ca="1" si="25"/>
        <v>0</v>
      </c>
      <c r="S83" s="99">
        <f t="shared" ca="1" si="25"/>
        <v>0</v>
      </c>
      <c r="T83" s="251">
        <f t="shared" ca="1" si="25"/>
        <v>0</v>
      </c>
      <c r="U83" s="99">
        <f t="shared" ca="1" si="25"/>
        <v>0</v>
      </c>
      <c r="V83" s="99">
        <f t="shared" ca="1" si="25"/>
        <v>0</v>
      </c>
      <c r="W83" s="99">
        <f t="shared" ca="1" si="25"/>
        <v>0</v>
      </c>
      <c r="X83" s="99">
        <f t="shared" ca="1" si="25"/>
        <v>0</v>
      </c>
      <c r="Y83" s="99">
        <f t="shared" ca="1" si="25"/>
        <v>0</v>
      </c>
      <c r="Z83" s="99">
        <f t="shared" ca="1" si="25"/>
        <v>0</v>
      </c>
      <c r="AA83" s="99">
        <f t="shared" ca="1" si="25"/>
        <v>0</v>
      </c>
      <c r="AB83" s="99">
        <f t="shared" ca="1" si="25"/>
        <v>0</v>
      </c>
      <c r="AC83" s="99">
        <f t="shared" ca="1" si="25"/>
        <v>0</v>
      </c>
      <c r="AD83" s="99">
        <f t="shared" ca="1" si="25"/>
        <v>0</v>
      </c>
      <c r="AE83" s="99">
        <f t="shared" ca="1" si="25"/>
        <v>0</v>
      </c>
      <c r="AF83" s="99">
        <f t="shared" ca="1" si="25"/>
        <v>0</v>
      </c>
      <c r="AG83" s="99">
        <f t="shared" ca="1" si="25"/>
        <v>0</v>
      </c>
      <c r="AH83" s="99">
        <f t="shared" ca="1" si="25"/>
        <v>0</v>
      </c>
      <c r="AI83" s="99">
        <f t="shared" ca="1" si="25"/>
        <v>0</v>
      </c>
      <c r="AJ83" s="99">
        <f t="shared" ca="1" si="25"/>
        <v>0</v>
      </c>
      <c r="AK83" s="99">
        <f t="shared" ca="1" si="25"/>
        <v>0</v>
      </c>
    </row>
    <row r="84" spans="1:37">
      <c r="B84" s="63" t="s">
        <v>540</v>
      </c>
      <c r="H84" s="67">
        <f t="shared" ref="H84:AK84" ca="1" si="26">-CUMPRINC($R$13/12,$R$14*12,$R$12,H39*12-11,H39*12,0)</f>
        <v>1152911.0461767451</v>
      </c>
      <c r="I84" s="67">
        <f t="shared" ca="1" si="26"/>
        <v>1219157.2323171727</v>
      </c>
      <c r="J84" s="67">
        <f t="shared" ca="1" si="26"/>
        <v>1289209.9195685964</v>
      </c>
      <c r="K84" s="67">
        <f t="shared" ca="1" si="26"/>
        <v>1363287.8292122285</v>
      </c>
      <c r="L84" s="67">
        <f t="shared" ca="1" si="26"/>
        <v>1441622.2502384335</v>
      </c>
      <c r="M84" s="67">
        <f t="shared" ca="1" si="26"/>
        <v>1524457.7614863985</v>
      </c>
      <c r="N84" s="67">
        <f t="shared" ca="1" si="26"/>
        <v>1612052.9952778914</v>
      </c>
      <c r="O84" s="67">
        <f t="shared" ca="1" si="26"/>
        <v>1704681.4449293669</v>
      </c>
      <c r="P84" s="67">
        <f t="shared" ca="1" si="26"/>
        <v>1802632.3186636535</v>
      </c>
      <c r="Q84" s="67">
        <f t="shared" ca="1" si="26"/>
        <v>1906211.4425873521</v>
      </c>
      <c r="R84" s="67">
        <f t="shared" ca="1" si="26"/>
        <v>2015742.2155532439</v>
      </c>
      <c r="S84" s="67">
        <f t="shared" ca="1" si="26"/>
        <v>2131566.6188890287</v>
      </c>
      <c r="T84" s="246">
        <f t="shared" ca="1" si="26"/>
        <v>2254046.2841450037</v>
      </c>
      <c r="U84" s="67">
        <f t="shared" ca="1" si="26"/>
        <v>2383563.6221944443</v>
      </c>
      <c r="V84" s="67">
        <f t="shared" ca="1" si="26"/>
        <v>2520523.0172120165</v>
      </c>
      <c r="W84" s="67">
        <f t="shared" ca="1" si="26"/>
        <v>2665352.0892581013</v>
      </c>
      <c r="X84" s="67">
        <f t="shared" ca="1" si="26"/>
        <v>2818503.0294111189</v>
      </c>
      <c r="Y84" s="67">
        <f t="shared" ca="1" si="26"/>
        <v>2980454.011616474</v>
      </c>
      <c r="Z84" s="67">
        <f t="shared" ca="1" si="26"/>
        <v>3151710.6856602216</v>
      </c>
      <c r="AA84" s="67">
        <f t="shared" ca="1" si="26"/>
        <v>3332807.7559289131</v>
      </c>
      <c r="AB84" s="67" t="e">
        <f t="shared" ca="1" si="26"/>
        <v>#NUM!</v>
      </c>
      <c r="AC84" s="67" t="e">
        <f t="shared" ca="1" si="26"/>
        <v>#NUM!</v>
      </c>
      <c r="AD84" s="67" t="e">
        <f t="shared" ca="1" si="26"/>
        <v>#NUM!</v>
      </c>
      <c r="AE84" s="67" t="e">
        <f t="shared" ca="1" si="26"/>
        <v>#NUM!</v>
      </c>
      <c r="AF84" s="67" t="e">
        <f t="shared" ca="1" si="26"/>
        <v>#NUM!</v>
      </c>
      <c r="AG84" s="67" t="e">
        <f t="shared" ca="1" si="26"/>
        <v>#NUM!</v>
      </c>
      <c r="AH84" s="67" t="e">
        <f t="shared" ca="1" si="26"/>
        <v>#NUM!</v>
      </c>
      <c r="AI84" s="67" t="e">
        <f t="shared" ca="1" si="26"/>
        <v>#NUM!</v>
      </c>
      <c r="AJ84" s="67" t="e">
        <f t="shared" ca="1" si="26"/>
        <v>#NUM!</v>
      </c>
      <c r="AK84" s="67" t="e">
        <f t="shared" ca="1" si="26"/>
        <v>#NUM!</v>
      </c>
    </row>
    <row r="85" spans="1:37">
      <c r="B85" s="63" t="s">
        <v>541</v>
      </c>
      <c r="H85" s="99">
        <f t="shared" ref="H85:AK85" ca="1" si="27">IF(H39&lt;=$M$25,(H84+H73)/-$G$73,0)</f>
        <v>-9.361416955425593E-2</v>
      </c>
      <c r="I85" s="99">
        <f t="shared" ca="1" si="27"/>
        <v>-8.1449653064807018E-2</v>
      </c>
      <c r="J85" s="99">
        <f t="shared" ca="1" si="27"/>
        <v>-7.7148336349771987E-2</v>
      </c>
      <c r="K85" s="99">
        <f t="shared" ca="1" si="27"/>
        <v>-7.2634267474844708E-2</v>
      </c>
      <c r="L85" s="99">
        <f t="shared" ca="1" si="27"/>
        <v>-6.7895540592329578E-2</v>
      </c>
      <c r="M85" s="99">
        <f t="shared" ca="1" si="27"/>
        <v>-6.2919557209334037E-2</v>
      </c>
      <c r="N85" s="99">
        <f t="shared" ca="1" si="27"/>
        <v>-5.7692985615196528E-2</v>
      </c>
      <c r="O85" s="99">
        <f t="shared" ca="1" si="27"/>
        <v>-5.220171793781115E-2</v>
      </c>
      <c r="P85" s="99">
        <f t="shared" ca="1" si="27"/>
        <v>-4.6430824690826523E-2</v>
      </c>
      <c r="Q85" s="99">
        <f t="shared" ca="1" si="27"/>
        <v>-0.69896529455699019</v>
      </c>
      <c r="R85" s="99">
        <f t="shared" si="27"/>
        <v>0</v>
      </c>
      <c r="S85" s="99">
        <f t="shared" si="27"/>
        <v>0</v>
      </c>
      <c r="T85" s="251">
        <f t="shared" si="27"/>
        <v>0</v>
      </c>
      <c r="U85" s="99">
        <f t="shared" si="27"/>
        <v>0</v>
      </c>
      <c r="V85" s="99">
        <f t="shared" si="27"/>
        <v>0</v>
      </c>
      <c r="W85" s="99">
        <f t="shared" si="27"/>
        <v>0</v>
      </c>
      <c r="X85" s="99">
        <f t="shared" si="27"/>
        <v>0</v>
      </c>
      <c r="Y85" s="99">
        <f t="shared" si="27"/>
        <v>0</v>
      </c>
      <c r="Z85" s="99">
        <f t="shared" si="27"/>
        <v>0</v>
      </c>
      <c r="AA85" s="99">
        <f t="shared" si="27"/>
        <v>0</v>
      </c>
      <c r="AB85" s="99">
        <f t="shared" si="27"/>
        <v>0</v>
      </c>
      <c r="AC85" s="99">
        <f t="shared" si="27"/>
        <v>0</v>
      </c>
      <c r="AD85" s="99">
        <f t="shared" si="27"/>
        <v>0</v>
      </c>
      <c r="AE85" s="99">
        <f t="shared" si="27"/>
        <v>0</v>
      </c>
      <c r="AF85" s="99">
        <f t="shared" si="27"/>
        <v>0</v>
      </c>
      <c r="AG85" s="99">
        <f t="shared" si="27"/>
        <v>0</v>
      </c>
      <c r="AH85" s="99">
        <f t="shared" si="27"/>
        <v>0</v>
      </c>
      <c r="AI85" s="99">
        <f t="shared" si="27"/>
        <v>0</v>
      </c>
      <c r="AJ85" s="99">
        <f t="shared" si="27"/>
        <v>0</v>
      </c>
      <c r="AK85" s="99">
        <f t="shared" si="27"/>
        <v>0</v>
      </c>
    </row>
    <row r="86" spans="1:37">
      <c r="B86" s="63" t="s">
        <v>491</v>
      </c>
      <c r="H86" s="76">
        <f t="shared" ref="H86:AK86" ca="1" si="28">IF(H39&lt;=$M$25,H57/-H71,0)</f>
        <v>0.18227378277748879</v>
      </c>
      <c r="I86" s="76">
        <f t="shared" ca="1" si="28"/>
        <v>0.22562810063885319</v>
      </c>
      <c r="J86" s="76">
        <f t="shared" ca="1" si="28"/>
        <v>0.22738258003656245</v>
      </c>
      <c r="K86" s="76">
        <f t="shared" ca="1" si="28"/>
        <v>0.2290607224845771</v>
      </c>
      <c r="L86" s="76">
        <f t="shared" ca="1" si="28"/>
        <v>0.23065649961178228</v>
      </c>
      <c r="M86" s="76">
        <f t="shared" ca="1" si="28"/>
        <v>0.23216358061370315</v>
      </c>
      <c r="N86" s="76">
        <f t="shared" ca="1" si="28"/>
        <v>0.23357531885645377</v>
      </c>
      <c r="O86" s="76">
        <f t="shared" ca="1" si="28"/>
        <v>0.23488473791593051</v>
      </c>
      <c r="P86" s="76">
        <f t="shared" ca="1" si="28"/>
        <v>0.23608451702896377</v>
      </c>
      <c r="Q86" s="76">
        <f t="shared" ca="1" si="28"/>
        <v>0.23716697593218813</v>
      </c>
      <c r="R86" s="76">
        <f t="shared" si="28"/>
        <v>0</v>
      </c>
      <c r="S86" s="76">
        <f t="shared" si="28"/>
        <v>0</v>
      </c>
      <c r="T86" s="252">
        <f t="shared" si="28"/>
        <v>0</v>
      </c>
      <c r="U86" s="76">
        <f t="shared" si="28"/>
        <v>0</v>
      </c>
      <c r="V86" s="76">
        <f t="shared" si="28"/>
        <v>0</v>
      </c>
      <c r="W86" s="76">
        <f t="shared" si="28"/>
        <v>0</v>
      </c>
      <c r="X86" s="76">
        <f t="shared" si="28"/>
        <v>0</v>
      </c>
      <c r="Y86" s="76">
        <f t="shared" si="28"/>
        <v>0</v>
      </c>
      <c r="Z86" s="76">
        <f t="shared" si="28"/>
        <v>0</v>
      </c>
      <c r="AA86" s="76">
        <f t="shared" si="28"/>
        <v>0</v>
      </c>
      <c r="AB86" s="76">
        <f t="shared" si="28"/>
        <v>0</v>
      </c>
      <c r="AC86" s="76">
        <f t="shared" si="28"/>
        <v>0</v>
      </c>
      <c r="AD86" s="76">
        <f t="shared" si="28"/>
        <v>0</v>
      </c>
      <c r="AE86" s="76">
        <f t="shared" si="28"/>
        <v>0</v>
      </c>
      <c r="AF86" s="76">
        <f t="shared" si="28"/>
        <v>0</v>
      </c>
      <c r="AG86" s="76">
        <f t="shared" si="28"/>
        <v>0</v>
      </c>
      <c r="AH86" s="76">
        <f t="shared" si="28"/>
        <v>0</v>
      </c>
      <c r="AI86" s="76">
        <f t="shared" si="28"/>
        <v>0</v>
      </c>
      <c r="AJ86" s="76">
        <f t="shared" si="28"/>
        <v>0</v>
      </c>
      <c r="AK86" s="76">
        <f t="shared" si="28"/>
        <v>0</v>
      </c>
    </row>
    <row r="87" spans="1:37">
      <c r="B87" s="63" t="s">
        <v>493</v>
      </c>
      <c r="H87" s="99">
        <f ca="1">H61/($G$69-SUM(H84:$H$84))</f>
        <v>1.5605819558621826E-2</v>
      </c>
      <c r="I87" s="99">
        <f ca="1">I61/($G$69-SUM($H84:I$84))</f>
        <v>1.9923163370860739E-2</v>
      </c>
      <c r="J87" s="99">
        <f ca="1">J61/($G$69-SUM($H84:J$84))</f>
        <v>2.0766344100699347E-2</v>
      </c>
      <c r="K87" s="99">
        <f ca="1">K61/($G$69-SUM($H84:K$84))</f>
        <v>2.1706436760903815E-2</v>
      </c>
      <c r="L87" s="99">
        <f ca="1">L61/($G$69-SUM($H84:L$84))</f>
        <v>2.2763018772465747E-2</v>
      </c>
      <c r="M87" s="99">
        <f ca="1">M61/($G$69-SUM($H84:M$84))</f>
        <v>2.3961273388185236E-2</v>
      </c>
      <c r="N87" s="99">
        <f ca="1">N61/($G$69-SUM($H84:N$84))</f>
        <v>2.533414552524323E-2</v>
      </c>
      <c r="O87" s="99">
        <f ca="1">O61/($G$69-SUM($H84:O$84))</f>
        <v>2.6925575476092561E-2</v>
      </c>
      <c r="P87" s="99">
        <f ca="1">P61/($G$69-SUM($H84:P$84))</f>
        <v>2.8795496420753231E-2</v>
      </c>
      <c r="Q87" s="99">
        <f ca="1">Q61/($G$69-SUM($H84:Q$84))</f>
        <v>0.58733216365887442</v>
      </c>
      <c r="R87" s="99">
        <f ca="1">R61/($G$69-SUM($H84:R$84))</f>
        <v>0</v>
      </c>
      <c r="S87" s="99">
        <f ca="1">S61/($G$69-SUM($H84:S$84))</f>
        <v>0</v>
      </c>
      <c r="T87" s="251">
        <f ca="1">T61/($G$69-SUM($H84:T$84))</f>
        <v>0</v>
      </c>
      <c r="U87" s="99">
        <f ca="1">U61/($G$69-SUM($H84:U$84))</f>
        <v>0</v>
      </c>
      <c r="V87" s="99">
        <f ca="1">V61/($G$69-SUM($H84:V$84))</f>
        <v>0</v>
      </c>
      <c r="W87" s="99">
        <f ca="1">W61/($G$69-SUM($H84:W$84))</f>
        <v>0</v>
      </c>
      <c r="X87" s="99">
        <f ca="1">X61/($G$69-SUM($H84:X$84))</f>
        <v>0</v>
      </c>
      <c r="Y87" s="99">
        <f ca="1">Y61/($G$69-SUM($H84:Y$84))</f>
        <v>0</v>
      </c>
      <c r="Z87" s="99">
        <f ca="1">Z61/($G$69-SUM($H84:Z$84))</f>
        <v>0</v>
      </c>
      <c r="AA87" s="99" t="e">
        <f ca="1">AA61/($G$69-SUM($H84:AA$84))</f>
        <v>#DIV/0!</v>
      </c>
      <c r="AB87" s="99" t="e">
        <f ca="1">AB61/($G$69-SUM($H84:AB$84))</f>
        <v>#NUM!</v>
      </c>
      <c r="AC87" s="99" t="e">
        <f ca="1">AC61/($G$69-SUM($H84:AC$84))</f>
        <v>#NUM!</v>
      </c>
      <c r="AD87" s="99" t="e">
        <f ca="1">AD61/($G$69-SUM($H84:AD$84))</f>
        <v>#NUM!</v>
      </c>
      <c r="AE87" s="99" t="e">
        <f ca="1">AE61/($G$69-SUM($H84:AE$84))</f>
        <v>#NUM!</v>
      </c>
      <c r="AF87" s="99" t="e">
        <f ca="1">AF61/($G$69-SUM($H84:AF$84))</f>
        <v>#NUM!</v>
      </c>
      <c r="AG87" s="99" t="e">
        <f ca="1">AG61/($G$69-SUM($H84:AG$84))</f>
        <v>#NUM!</v>
      </c>
      <c r="AH87" s="99" t="e">
        <f ca="1">AH61/($G$69-SUM($H84:AH$84))</f>
        <v>#NUM!</v>
      </c>
      <c r="AI87" s="99" t="e">
        <f ca="1">AI61/($G$69-SUM($H84:AI$84))</f>
        <v>#NUM!</v>
      </c>
      <c r="AJ87" s="99" t="e">
        <f ca="1">AJ61/($G$69-SUM($H84:AJ$84))</f>
        <v>#NUM!</v>
      </c>
      <c r="AK87" s="99" t="e">
        <f ca="1">AK61/($G$69-SUM($H84:AK$84))</f>
        <v>#NUM!</v>
      </c>
    </row>
  </sheetData>
  <conditionalFormatting sqref="T11:U22">
    <cfRule type="expression" dxfId="1" priority="2">
      <formula>$G$44="N"</formula>
    </cfRule>
  </conditionalFormatting>
  <conditionalFormatting sqref="U11">
    <cfRule type="expression" dxfId="0" priority="4">
      <formula>AND(#REF!=0, $G$44="Y")</formula>
    </cfRule>
  </conditionalFormatting>
  <pageMargins left="0.7" right="0.7" top="0.75" bottom="0.75" header="0.3" footer="0.3"/>
  <pageSetup scale="42" orientation="portrait" r:id="rId1"/>
  <headerFooter>
    <oddHeader xml:space="preserve">&amp;L2019 ULI Hines Student Competition&amp;R2019-331 &amp;A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B2:XFD105"/>
  <sheetViews>
    <sheetView showGridLines="0" tabSelected="1" showWhiteSpace="0" view="pageBreakPreview" zoomScale="80" zoomScaleNormal="100" zoomScaleSheetLayoutView="80" workbookViewId="0">
      <pane xSplit="4" ySplit="16" topLeftCell="E17" activePane="bottomRight" state="frozen"/>
      <selection pane="topRight"/>
      <selection pane="bottomLeft"/>
      <selection pane="bottomRight" activeCell="E17" sqref="E17"/>
    </sheetView>
  </sheetViews>
  <sheetFormatPr defaultColWidth="9.21875" defaultRowHeight="14.1" customHeight="1"/>
  <cols>
    <col min="1" max="1" width="1.77734375" style="278" customWidth="1"/>
    <col min="2" max="2" width="10.21875" style="278" bestFit="1" customWidth="1"/>
    <col min="3" max="3" width="26" style="278" customWidth="1"/>
    <col min="4" max="4" width="3.77734375" style="278" bestFit="1" customWidth="1"/>
    <col min="5" max="5" width="15.109375" style="270" customWidth="1"/>
    <col min="6" max="7" width="15.109375" style="278" customWidth="1"/>
    <col min="8" max="8" width="15.6640625" style="278" bestFit="1" customWidth="1"/>
    <col min="9" max="16" width="15.109375" style="278" customWidth="1"/>
    <col min="17" max="16384" width="9.21875" style="278"/>
  </cols>
  <sheetData>
    <row r="2" spans="2:18 16384:16384" ht="14.1" customHeight="1">
      <c r="E2" s="564"/>
    </row>
    <row r="3" spans="2:18 16384:16384" ht="14.1" customHeight="1">
      <c r="E3" s="564"/>
    </row>
    <row r="4" spans="2:18 16384:16384" ht="14.1" customHeight="1">
      <c r="E4" s="564"/>
    </row>
    <row r="5" spans="2:18 16384:16384" ht="14.1" customHeight="1">
      <c r="E5" s="564"/>
    </row>
    <row r="6" spans="2:18 16384:16384" ht="14.1" customHeight="1">
      <c r="E6" s="564"/>
    </row>
    <row r="7" spans="2:18 16384:16384" ht="14.1" customHeight="1">
      <c r="E7" s="564"/>
    </row>
    <row r="8" spans="2:18 16384:16384" ht="14.1" customHeight="1">
      <c r="B8" s="445" t="s">
        <v>762</v>
      </c>
      <c r="E8" s="415"/>
    </row>
    <row r="9" spans="2:18 16384:16384" ht="14.1" customHeight="1">
      <c r="E9" s="415"/>
    </row>
    <row r="10" spans="2:18 16384:16384" s="277" customFormat="1" ht="13.2">
      <c r="B10" s="281" t="s">
        <v>22</v>
      </c>
      <c r="C10" s="281"/>
      <c r="D10" s="298"/>
      <c r="E10" s="282"/>
      <c r="F10" s="282"/>
      <c r="G10" s="282"/>
      <c r="H10" s="282"/>
      <c r="I10" s="282"/>
      <c r="J10" s="282"/>
      <c r="K10" s="282"/>
      <c r="L10" s="282"/>
      <c r="M10" s="282"/>
      <c r="N10" s="416"/>
      <c r="O10" s="283"/>
      <c r="P10" s="312"/>
      <c r="XFD10" s="312"/>
    </row>
    <row r="11" spans="2:18 16384:16384" s="307" customFormat="1" ht="13.8" thickBot="1">
      <c r="B11" s="303"/>
      <c r="C11" s="303"/>
      <c r="D11" s="303"/>
      <c r="E11" s="304"/>
      <c r="F11" s="304"/>
      <c r="G11" s="304"/>
      <c r="H11" s="304"/>
      <c r="I11" s="304"/>
      <c r="J11" s="304"/>
      <c r="K11" s="304"/>
      <c r="L11" s="304"/>
      <c r="M11" s="304"/>
      <c r="N11" s="305"/>
      <c r="O11" s="306"/>
    </row>
    <row r="12" spans="2:18 16384:16384" ht="13.8" thickBot="1">
      <c r="B12" s="308" t="s">
        <v>20</v>
      </c>
      <c r="E12" s="668" t="s">
        <v>682</v>
      </c>
      <c r="F12" s="668" t="s">
        <v>685</v>
      </c>
      <c r="G12" s="333" t="s">
        <v>591</v>
      </c>
      <c r="H12" s="334"/>
      <c r="I12" s="335"/>
      <c r="J12" s="314" t="s">
        <v>680</v>
      </c>
      <c r="K12" s="330" t="s">
        <v>681</v>
      </c>
      <c r="L12" s="331"/>
      <c r="M12" s="331"/>
      <c r="N12" s="331"/>
      <c r="O12" s="332"/>
      <c r="P12" s="668" t="s">
        <v>525</v>
      </c>
    </row>
    <row r="13" spans="2:18 16384:16384" ht="13.8" thickBot="1">
      <c r="B13" s="309" t="s">
        <v>445</v>
      </c>
      <c r="E13" s="669"/>
      <c r="F13" s="669"/>
      <c r="G13" s="302"/>
      <c r="H13" s="302"/>
      <c r="I13" s="302"/>
      <c r="J13" s="336" t="s">
        <v>591</v>
      </c>
      <c r="K13" s="337"/>
      <c r="L13" s="338"/>
      <c r="M13" s="313" t="s">
        <v>680</v>
      </c>
      <c r="N13" s="336" t="s">
        <v>681</v>
      </c>
      <c r="O13" s="338"/>
      <c r="P13" s="669"/>
    </row>
    <row r="14" spans="2:18 16384:16384" s="271" customFormat="1" ht="13.2">
      <c r="E14" s="291"/>
      <c r="G14" s="302"/>
      <c r="H14" s="302"/>
      <c r="I14" s="302"/>
      <c r="J14" s="301"/>
      <c r="K14" s="301"/>
      <c r="L14" s="301"/>
      <c r="M14" s="301"/>
      <c r="N14" s="301"/>
      <c r="O14" s="301"/>
      <c r="P14" s="310"/>
    </row>
    <row r="15" spans="2:18 16384:16384" ht="13.2">
      <c r="B15" s="270"/>
      <c r="C15" s="270"/>
      <c r="D15" s="297"/>
      <c r="E15" s="284">
        <v>2020</v>
      </c>
      <c r="F15" s="296">
        <f>E15+1</f>
        <v>2021</v>
      </c>
      <c r="G15" s="296">
        <f t="shared" ref="G15:P15" si="0">F15+1</f>
        <v>2022</v>
      </c>
      <c r="H15" s="296">
        <f t="shared" si="0"/>
        <v>2023</v>
      </c>
      <c r="I15" s="296">
        <f t="shared" si="0"/>
        <v>2024</v>
      </c>
      <c r="J15" s="296">
        <f t="shared" si="0"/>
        <v>2025</v>
      </c>
      <c r="K15" s="296">
        <f t="shared" si="0"/>
        <v>2026</v>
      </c>
      <c r="L15" s="296">
        <f t="shared" si="0"/>
        <v>2027</v>
      </c>
      <c r="M15" s="296">
        <f t="shared" si="0"/>
        <v>2028</v>
      </c>
      <c r="N15" s="296">
        <f t="shared" si="0"/>
        <v>2029</v>
      </c>
      <c r="O15" s="296">
        <f t="shared" si="0"/>
        <v>2030</v>
      </c>
      <c r="P15" s="296">
        <f t="shared" si="0"/>
        <v>2031</v>
      </c>
    </row>
    <row r="16" spans="2:18 16384:16384" ht="13.2">
      <c r="B16" s="279" t="s">
        <v>0</v>
      </c>
      <c r="C16" s="279"/>
      <c r="D16" s="279"/>
      <c r="E16" s="311">
        <v>0</v>
      </c>
      <c r="F16" s="311">
        <f>E16+1</f>
        <v>1</v>
      </c>
      <c r="G16" s="311">
        <f t="shared" ref="G16:P16" si="1">F16+1</f>
        <v>2</v>
      </c>
      <c r="H16" s="311">
        <f t="shared" si="1"/>
        <v>3</v>
      </c>
      <c r="I16" s="311">
        <f t="shared" si="1"/>
        <v>4</v>
      </c>
      <c r="J16" s="311">
        <f t="shared" si="1"/>
        <v>5</v>
      </c>
      <c r="K16" s="311">
        <f t="shared" si="1"/>
        <v>6</v>
      </c>
      <c r="L16" s="311">
        <f t="shared" si="1"/>
        <v>7</v>
      </c>
      <c r="M16" s="311">
        <f t="shared" si="1"/>
        <v>8</v>
      </c>
      <c r="N16" s="311">
        <f t="shared" si="1"/>
        <v>9</v>
      </c>
      <c r="O16" s="311">
        <f t="shared" si="1"/>
        <v>10</v>
      </c>
      <c r="P16" s="311">
        <f t="shared" si="1"/>
        <v>11</v>
      </c>
      <c r="R16" s="280"/>
    </row>
    <row r="17" spans="2:18" ht="13.2">
      <c r="B17" s="279"/>
      <c r="C17" s="279"/>
      <c r="D17" s="279"/>
      <c r="E17" s="284"/>
      <c r="O17" s="293"/>
      <c r="P17" s="293"/>
      <c r="R17" s="280"/>
    </row>
    <row r="18" spans="2:18" ht="15.6">
      <c r="B18" s="658" t="s">
        <v>755</v>
      </c>
      <c r="C18" s="658"/>
      <c r="D18" s="292"/>
      <c r="E18" s="317">
        <f>('Phase I - Pro Forma'!G25-'Phase I - Pro Forma'!G33)+('Phase II - Pro Forma'!G25-'Phase II - Pro Forma'!G33)</f>
        <v>0</v>
      </c>
      <c r="F18" s="317">
        <f>('Phase I - Pro Forma'!H25-'Phase I - Pro Forma'!H33)+('Phase II - Pro Forma'!H25-'Phase II - Pro Forma'!H33)</f>
        <v>0</v>
      </c>
      <c r="G18" s="317">
        <f>('Phase I - Pro Forma'!H25-'Phase I - Pro Forma'!H33)+('Phase II - Pro Forma'!H25-'Phase II - Pro Forma'!H33)</f>
        <v>0</v>
      </c>
      <c r="H18" s="317">
        <f>('Phase I - Pro Forma'!I25-'Phase I - Pro Forma'!I33)+('Phase II - Pro Forma'!I25-'Phase II - Pro Forma'!I33)</f>
        <v>0</v>
      </c>
      <c r="I18" s="317">
        <f>('Phase I - Pro Forma'!J25-'Phase I - Pro Forma'!J33)+('Phase II - Pro Forma'!J25-'Phase II - Pro Forma'!J33)</f>
        <v>0</v>
      </c>
      <c r="J18" s="317">
        <f ca="1">('Phase I - Pro Forma'!K25-'Phase I - Pro Forma'!K33)+('Phase II - Pro Forma'!K25-'Phase II - Pro Forma'!K33)</f>
        <v>1879336.92</v>
      </c>
      <c r="K18" s="317">
        <f ca="1">('Phase I - Pro Forma'!L25-'Phase I - Pro Forma'!L33)+('Phase II - Pro Forma'!L25-'Phase II - Pro Forma'!L33)</f>
        <v>5033078.7424800005</v>
      </c>
      <c r="L18" s="317">
        <f ca="1">('Phase I - Pro Forma'!M25-'Phase I - Pro Forma'!M33)+('Phase II - Pro Forma'!M25-'Phase II - Pro Forma'!M33)</f>
        <v>5126776.5666000471</v>
      </c>
      <c r="M18" s="317">
        <f ca="1">('Phase I - Pro Forma'!N25-'Phase I - Pro Forma'!N33)+('Phase II - Pro Forma'!N25-'Phase II - Pro Forma'!N33)</f>
        <v>12285805.373234812</v>
      </c>
      <c r="N18" s="317">
        <f ca="1">('Phase I - Pro Forma'!O25-'Phase I - Pro Forma'!O33)+('Phase II - Pro Forma'!O25-'Phase II - Pro Forma'!O33)</f>
        <v>12496898.40363173</v>
      </c>
      <c r="O18" s="317">
        <f ca="1">('Phase I - Pro Forma'!P25-'Phase I - Pro Forma'!P33)+('Phase II - Pro Forma'!P25-'Phase II - Pro Forma'!P33)</f>
        <v>12706355.679722069</v>
      </c>
      <c r="P18" s="317">
        <f ca="1">('Phase I - Pro Forma'!Q25-'Phase I - Pro Forma'!Q33)+('Phase II - Pro Forma'!Q25-'Phase II - Pro Forma'!Q33)</f>
        <v>12913724.920488575</v>
      </c>
      <c r="R18" s="280"/>
    </row>
    <row r="19" spans="2:18" ht="15.6">
      <c r="B19" s="658" t="s">
        <v>760</v>
      </c>
      <c r="C19" s="658"/>
      <c r="D19" s="292"/>
      <c r="E19" s="317">
        <f>('Phase I - Pro Forma'!G26-'Phase I - Pro Forma'!G34)+('Phase II - Pro Forma'!G26-'Phase II - Pro Forma'!G34)</f>
        <v>0</v>
      </c>
      <c r="F19" s="317">
        <f>('Phase I - Pro Forma'!H26-'Phase I - Pro Forma'!H34)+('Phase II - Pro Forma'!H26-'Phase II - Pro Forma'!H34)</f>
        <v>0</v>
      </c>
      <c r="G19" s="317">
        <f>('Phase I - Pro Forma'!H26-'Phase I - Pro Forma'!H34)+('Phase II - Pro Forma'!H26-'Phase II - Pro Forma'!H34)</f>
        <v>0</v>
      </c>
      <c r="H19" s="317">
        <f>('Phase I - Pro Forma'!I26-'Phase I - Pro Forma'!I34)+('Phase II - Pro Forma'!I26-'Phase II - Pro Forma'!I34)</f>
        <v>0</v>
      </c>
      <c r="I19" s="317">
        <f>('Phase I - Pro Forma'!J26-'Phase I - Pro Forma'!J34)+('Phase II - Pro Forma'!J26-'Phase II - Pro Forma'!J34)</f>
        <v>0</v>
      </c>
      <c r="J19" s="317">
        <f ca="1">('Phase I - Pro Forma'!K26-'Phase I - Pro Forma'!K34)+('Phase II - Pro Forma'!K26-'Phase II - Pro Forma'!K34)</f>
        <v>625049.55599999998</v>
      </c>
      <c r="K19" s="317">
        <f ca="1">('Phase I - Pro Forma'!L26-'Phase I - Pro Forma'!L34)+('Phase II - Pro Forma'!L26-'Phase II - Pro Forma'!L34)</f>
        <v>568657.88827200001</v>
      </c>
      <c r="L19" s="317">
        <f ca="1">('Phase I - Pro Forma'!M26-'Phase I - Pro Forma'!M34)+('Phase II - Pro Forma'!M26-'Phase II - Pro Forma'!M34)</f>
        <v>573655.92557201278</v>
      </c>
      <c r="M19" s="317">
        <f ca="1">('Phase I - Pro Forma'!N26-'Phase I - Pro Forma'!N34)+('Phase II - Pro Forma'!N26-'Phase II - Pro Forma'!N34)</f>
        <v>1365266.3028047753</v>
      </c>
      <c r="N19" s="317">
        <f ca="1">('Phase I - Pro Forma'!O26-'Phase I - Pro Forma'!O34)+('Phase II - Pro Forma'!O26-'Phase II - Pro Forma'!O34)</f>
        <v>1375416.7154535309</v>
      </c>
      <c r="O19" s="317">
        <f ca="1">('Phase I - Pro Forma'!P26-'Phase I - Pro Forma'!P34)+('Phase II - Pro Forma'!P26-'Phase II - Pro Forma'!P34)</f>
        <v>1385077.0778536052</v>
      </c>
      <c r="P19" s="317">
        <f ca="1">('Phase I - Pro Forma'!Q26-'Phase I - Pro Forma'!Q34)+('Phase II - Pro Forma'!Q26-'Phase II - Pro Forma'!Q34)</f>
        <v>1394209.5894365576</v>
      </c>
    </row>
    <row r="20" spans="2:18" ht="13.2">
      <c r="B20" s="658" t="s">
        <v>24</v>
      </c>
      <c r="C20" s="658"/>
      <c r="D20" s="292"/>
      <c r="E20" s="317">
        <f>('Phase I - Pro Forma'!G27-'Phase I - Pro Forma'!G35)+('Phase II - Pro Forma'!G27-'Phase II - Pro Forma'!G35)</f>
        <v>0</v>
      </c>
      <c r="F20" s="317">
        <f>('Phase I - Pro Forma'!H27-'Phase I - Pro Forma'!H35)+('Phase II - Pro Forma'!H27-'Phase II - Pro Forma'!H35)</f>
        <v>0</v>
      </c>
      <c r="G20" s="317">
        <f>('Phase I - Pro Forma'!H27-'Phase I - Pro Forma'!H35)+('Phase II - Pro Forma'!H27-'Phase II - Pro Forma'!H35)</f>
        <v>0</v>
      </c>
      <c r="H20" s="317">
        <f>('Phase I - Pro Forma'!I27-'Phase I - Pro Forma'!I35)+('Phase II - Pro Forma'!I27-'Phase II - Pro Forma'!I35)</f>
        <v>0</v>
      </c>
      <c r="I20" s="317">
        <f>('Phase I - Pro Forma'!J27-'Phase I - Pro Forma'!J35)+('Phase II - Pro Forma'!J27-'Phase II - Pro Forma'!J35)</f>
        <v>0</v>
      </c>
      <c r="J20" s="317">
        <f>('Phase I - Pro Forma'!K27-'Phase I - Pro Forma'!K35)+('Phase II - Pro Forma'!K27-'Phase II - Pro Forma'!K35)</f>
        <v>-20906026.133142903</v>
      </c>
      <c r="K20" s="317">
        <f>('Phase I - Pro Forma'!L27-'Phase I - Pro Forma'!L35)+('Phase II - Pro Forma'!L27-'Phase II - Pro Forma'!L35)</f>
        <v>11807273.757232351</v>
      </c>
      <c r="L20" s="317">
        <f>('Phase I - Pro Forma'!M27-'Phase I - Pro Forma'!M35)+('Phase II - Pro Forma'!M27-'Phase II - Pro Forma'!M35)</f>
        <v>12188401.85303841</v>
      </c>
      <c r="M20" s="317">
        <f ca="1">('Phase I - Pro Forma'!N27-'Phase I - Pro Forma'!N35)+('Phase II - Pro Forma'!N27-'Phase II - Pro Forma'!N35)</f>
        <v>31791498.401029557</v>
      </c>
      <c r="N20" s="317">
        <f ca="1">('Phase I - Pro Forma'!O27-'Phase I - Pro Forma'!O35)+('Phase II - Pro Forma'!O27-'Phase II - Pro Forma'!O35)</f>
        <v>32822577.150674589</v>
      </c>
      <c r="O20" s="317">
        <f ca="1">('Phase I - Pro Forma'!P27-'Phase I - Pro Forma'!P35)+('Phase II - Pro Forma'!P27-'Phase II - Pro Forma'!P35)</f>
        <v>33886134.938761264</v>
      </c>
      <c r="P20" s="317">
        <f ca="1">('Phase I - Pro Forma'!Q27-'Phase I - Pro Forma'!Q35)+('Phase II - Pro Forma'!Q27-'Phase II - Pro Forma'!Q35)</f>
        <v>34983177.069961861</v>
      </c>
    </row>
    <row r="21" spans="2:18" ht="13.2">
      <c r="B21" s="658" t="s">
        <v>26</v>
      </c>
      <c r="C21" s="658" t="s">
        <v>26</v>
      </c>
      <c r="D21" s="292"/>
      <c r="E21" s="317">
        <f>('Phase I - Pro Forma'!G28-'Phase I - Pro Forma'!G36)+('Phase II - Pro Forma'!G28-'Phase II - Pro Forma'!G36)</f>
        <v>0</v>
      </c>
      <c r="F21" s="317">
        <f>('Phase I - Pro Forma'!H28-'Phase I - Pro Forma'!H36)+('Phase II - Pro Forma'!H28-'Phase II - Pro Forma'!H36)</f>
        <v>0</v>
      </c>
      <c r="G21" s="317">
        <f>('Phase I - Pro Forma'!H28-'Phase I - Pro Forma'!H36)+('Phase II - Pro Forma'!H28-'Phase II - Pro Forma'!H36)</f>
        <v>0</v>
      </c>
      <c r="H21" s="317">
        <f>('Phase I - Pro Forma'!I28-'Phase I - Pro Forma'!I36)+('Phase II - Pro Forma'!I28-'Phase II - Pro Forma'!I36)</f>
        <v>0</v>
      </c>
      <c r="I21" s="317">
        <f>('Phase I - Pro Forma'!J28-'Phase I - Pro Forma'!J36)+('Phase II - Pro Forma'!J28-'Phase II - Pro Forma'!J36)</f>
        <v>0</v>
      </c>
      <c r="J21" s="317">
        <f>('Phase I - Pro Forma'!K28-'Phase I - Pro Forma'!K36)+('Phase II - Pro Forma'!K28-'Phase II - Pro Forma'!K36)</f>
        <v>0</v>
      </c>
      <c r="K21" s="317">
        <f>('Phase I - Pro Forma'!L28-'Phase I - Pro Forma'!L36)+('Phase II - Pro Forma'!L28-'Phase II - Pro Forma'!L36)</f>
        <v>0</v>
      </c>
      <c r="L21" s="317">
        <f>('Phase I - Pro Forma'!M28-'Phase I - Pro Forma'!M36)+('Phase II - Pro Forma'!M28-'Phase II - Pro Forma'!M36)</f>
        <v>0</v>
      </c>
      <c r="M21" s="317">
        <f>('Phase I - Pro Forma'!N28-'Phase I - Pro Forma'!N36)+('Phase II - Pro Forma'!N28-'Phase II - Pro Forma'!N36)</f>
        <v>5374966.5522481371</v>
      </c>
      <c r="N21" s="317">
        <f>('Phase I - Pro Forma'!O28-'Phase I - Pro Forma'!O36)+('Phase II - Pro Forma'!O28-'Phase II - Pro Forma'!O36)</f>
        <v>5720131.3109186869</v>
      </c>
      <c r="O21" s="317">
        <f>('Phase I - Pro Forma'!P28-'Phase I - Pro Forma'!P36)+('Phase II - Pro Forma'!P28-'Phase II - Pro Forma'!P36)</f>
        <v>6075651.0123493541</v>
      </c>
      <c r="P21" s="317">
        <f>('Phase I - Pro Forma'!Q28-'Phase I - Pro Forma'!Q36)+('Phase II - Pro Forma'!Q28-'Phase II - Pro Forma'!Q36)</f>
        <v>6441836.3048229385</v>
      </c>
    </row>
    <row r="22" spans="2:18" ht="13.2">
      <c r="B22" s="658" t="s">
        <v>45</v>
      </c>
      <c r="C22" s="658"/>
      <c r="D22" s="292"/>
      <c r="E22" s="317">
        <f>('Phase I - Pro Forma'!G29-'Phase I - Pro Forma'!G37)+('Phase II - Pro Forma'!G29-'Phase II - Pro Forma'!G37)</f>
        <v>0</v>
      </c>
      <c r="F22" s="317">
        <f>('Phase I - Pro Forma'!H29-'Phase I - Pro Forma'!H37)+('Phase II - Pro Forma'!H29-'Phase II - Pro Forma'!H37)</f>
        <v>0</v>
      </c>
      <c r="G22" s="317">
        <f>('Phase I - Pro Forma'!H29-'Phase I - Pro Forma'!H37)+('Phase II - Pro Forma'!H29-'Phase II - Pro Forma'!H37)</f>
        <v>0</v>
      </c>
      <c r="H22" s="317">
        <f>('Phase I - Pro Forma'!I29-'Phase I - Pro Forma'!I37)+('Phase II - Pro Forma'!I29-'Phase II - Pro Forma'!I37)</f>
        <v>0</v>
      </c>
      <c r="I22" s="317">
        <f>('Phase I - Pro Forma'!J29-'Phase I - Pro Forma'!J37)+('Phase II - Pro Forma'!J29-'Phase II - Pro Forma'!J37)</f>
        <v>0</v>
      </c>
      <c r="J22" s="317">
        <f>('Phase I - Pro Forma'!K29-'Phase I - Pro Forma'!K37)+('Phase II - Pro Forma'!K29-'Phase II - Pro Forma'!K37)</f>
        <v>-1708813.4520191876</v>
      </c>
      <c r="K22" s="317">
        <f>('Phase I - Pro Forma'!L29-'Phase I - Pro Forma'!L37)+('Phase II - Pro Forma'!L29-'Phase II - Pro Forma'!L37)</f>
        <v>1985788.249236</v>
      </c>
      <c r="L22" s="317">
        <f>('Phase I - Pro Forma'!M29-'Phase I - Pro Forma'!M37)+('Phase II - Pro Forma'!M29-'Phase II - Pro Forma'!M37)</f>
        <v>2051348.6325380397</v>
      </c>
      <c r="M22" s="317">
        <f>('Phase I - Pro Forma'!N29-'Phase I - Pro Forma'!N37)+('Phase II - Pro Forma'!N29-'Phase II - Pro Forma'!N37)</f>
        <v>6681161.7927375035</v>
      </c>
      <c r="N22" s="317">
        <f>('Phase I - Pro Forma'!O29-'Phase I - Pro Forma'!O37)+('Phase II - Pro Forma'!O29-'Phase II - Pro Forma'!O37)</f>
        <v>6902991.3538982775</v>
      </c>
      <c r="O22" s="317">
        <f>('Phase I - Pro Forma'!P29-'Phase I - Pro Forma'!P37)+('Phase II - Pro Forma'!P29-'Phase II - Pro Forma'!P37)</f>
        <v>7131903.696041448</v>
      </c>
      <c r="P22" s="317">
        <f>('Phase I - Pro Forma'!Q29-'Phase I - Pro Forma'!Q37)+('Phase II - Pro Forma'!Q29-'Phase II - Pro Forma'!Q37)</f>
        <v>7368119.8604794405</v>
      </c>
    </row>
    <row r="23" spans="2:18" s="271" customFormat="1" ht="13.2">
      <c r="B23" s="342"/>
      <c r="C23" s="342" t="s">
        <v>50</v>
      </c>
      <c r="D23" s="342"/>
      <c r="E23" s="319">
        <v>0</v>
      </c>
      <c r="F23" s="319">
        <v>0</v>
      </c>
      <c r="G23" s="319">
        <v>0</v>
      </c>
      <c r="H23" s="319">
        <v>0</v>
      </c>
      <c r="I23" s="319">
        <v>0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</row>
    <row r="24" spans="2:18" ht="13.2">
      <c r="B24" s="285"/>
      <c r="C24" s="285"/>
      <c r="D24" s="292"/>
      <c r="E24" s="318"/>
      <c r="G24" s="319"/>
      <c r="H24" s="319"/>
      <c r="I24" s="319"/>
      <c r="J24" s="319"/>
      <c r="K24" s="319"/>
      <c r="L24" s="319"/>
      <c r="M24" s="319"/>
      <c r="N24" s="319"/>
      <c r="O24" s="320"/>
      <c r="P24" s="320"/>
    </row>
    <row r="25" spans="2:18" ht="13.2">
      <c r="B25" s="666" t="s">
        <v>1</v>
      </c>
      <c r="C25" s="666"/>
      <c r="D25" s="295"/>
      <c r="E25" s="321">
        <f t="shared" ref="E25:P25" si="2">SUM(E18:E23)</f>
        <v>0</v>
      </c>
      <c r="F25" s="321">
        <f t="shared" si="2"/>
        <v>0</v>
      </c>
      <c r="G25" s="321">
        <f t="shared" si="2"/>
        <v>0</v>
      </c>
      <c r="H25" s="321">
        <f t="shared" si="2"/>
        <v>0</v>
      </c>
      <c r="I25" s="321">
        <f t="shared" si="2"/>
        <v>0</v>
      </c>
      <c r="J25" s="321">
        <f t="shared" ca="1" si="2"/>
        <v>-20110453.109162092</v>
      </c>
      <c r="K25" s="321">
        <f t="shared" ca="1" si="2"/>
        <v>19394798.637220349</v>
      </c>
      <c r="L25" s="321">
        <f t="shared" ca="1" si="2"/>
        <v>19940182.977748509</v>
      </c>
      <c r="M25" s="321">
        <f t="shared" ca="1" si="2"/>
        <v>57498698.42205479</v>
      </c>
      <c r="N25" s="321">
        <f t="shared" ca="1" si="2"/>
        <v>59318014.934576817</v>
      </c>
      <c r="O25" s="321">
        <f t="shared" ca="1" si="2"/>
        <v>61185122.404727742</v>
      </c>
      <c r="P25" s="321">
        <f t="shared" ca="1" si="2"/>
        <v>63101067.745189369</v>
      </c>
    </row>
    <row r="26" spans="2:18" ht="13.2">
      <c r="B26" s="665" t="s">
        <v>47</v>
      </c>
      <c r="C26" s="665"/>
      <c r="D26" s="294"/>
      <c r="E26" s="319">
        <f>'Phase I - Pro Forma'!G44+'Phase II - Pro Forma'!G44</f>
        <v>0</v>
      </c>
      <c r="F26" s="319">
        <f>'Phase I - Pro Forma'!H44+'Phase II - Pro Forma'!H44</f>
        <v>0</v>
      </c>
      <c r="G26" s="319">
        <f>'Phase I - Pro Forma'!H44+'Phase II - Pro Forma'!H44</f>
        <v>0</v>
      </c>
      <c r="H26" s="319">
        <f>'Phase I - Pro Forma'!I44+'Phase II - Pro Forma'!I44</f>
        <v>0</v>
      </c>
      <c r="I26" s="319">
        <f>'Phase I - Pro Forma'!J44+'Phase II - Pro Forma'!J44</f>
        <v>0</v>
      </c>
      <c r="J26" s="319">
        <f>'Phase I - Pro Forma'!K44+'Phase II - Pro Forma'!K44</f>
        <v>0</v>
      </c>
      <c r="K26" s="319">
        <f>'Phase I - Pro Forma'!L44+'Phase II - Pro Forma'!L44</f>
        <v>0</v>
      </c>
      <c r="L26" s="319">
        <f>'Phase I - Pro Forma'!M44+'Phase II - Pro Forma'!M44</f>
        <v>0</v>
      </c>
      <c r="M26" s="319">
        <f>'Phase I - Pro Forma'!N44+'Phase II - Pro Forma'!N44</f>
        <v>0</v>
      </c>
      <c r="N26" s="319">
        <f>'Phase I - Pro Forma'!O44+'Phase II - Pro Forma'!O44</f>
        <v>0</v>
      </c>
      <c r="O26" s="319">
        <f>'Phase I - Pro Forma'!P44+'Phase II - Pro Forma'!P44</f>
        <v>0</v>
      </c>
      <c r="P26" s="319">
        <f ca="1">'Phase I - Pro Forma'!Q44+'Phase II - Pro Forma'!Q44</f>
        <v>1332598808.0221474</v>
      </c>
      <c r="Q26" s="286"/>
    </row>
    <row r="27" spans="2:18" ht="13.2">
      <c r="B27" s="269"/>
      <c r="C27" s="269" t="s">
        <v>48</v>
      </c>
      <c r="D27" s="294"/>
      <c r="E27" s="319">
        <f>SUM(E25:E26)</f>
        <v>0</v>
      </c>
      <c r="F27" s="319">
        <f>SUM(F25:F26)</f>
        <v>0</v>
      </c>
      <c r="G27" s="319">
        <f>SUM(G25:G26)</f>
        <v>0</v>
      </c>
      <c r="H27" s="319">
        <f t="shared" ref="H27:P27" si="3">SUM(H25:H26)</f>
        <v>0</v>
      </c>
      <c r="I27" s="319">
        <f t="shared" si="3"/>
        <v>0</v>
      </c>
      <c r="J27" s="319">
        <f t="shared" ca="1" si="3"/>
        <v>-20110453.109162092</v>
      </c>
      <c r="K27" s="319">
        <f t="shared" ca="1" si="3"/>
        <v>19394798.637220349</v>
      </c>
      <c r="L27" s="319">
        <f t="shared" ca="1" si="3"/>
        <v>19940182.977748509</v>
      </c>
      <c r="M27" s="319">
        <f t="shared" ca="1" si="3"/>
        <v>57498698.42205479</v>
      </c>
      <c r="N27" s="319">
        <f t="shared" ca="1" si="3"/>
        <v>59318014.934576817</v>
      </c>
      <c r="O27" s="319">
        <f t="shared" ca="1" si="3"/>
        <v>61185122.404727742</v>
      </c>
      <c r="P27" s="319">
        <f t="shared" ca="1" si="3"/>
        <v>1395699875.7673368</v>
      </c>
    </row>
    <row r="28" spans="2:18" ht="13.2">
      <c r="B28" s="403"/>
      <c r="C28" s="403"/>
      <c r="D28" s="403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</row>
    <row r="29" spans="2:18" ht="13.2">
      <c r="B29" s="404" t="s">
        <v>756</v>
      </c>
      <c r="C29" s="403"/>
      <c r="D29" s="403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</row>
    <row r="30" spans="2:18" s="274" customFormat="1" ht="11.25" customHeight="1">
      <c r="B30" s="273"/>
      <c r="C30" s="273"/>
      <c r="D30" s="273"/>
      <c r="E30" s="322"/>
      <c r="G30" s="323"/>
      <c r="H30" s="323"/>
      <c r="I30" s="323"/>
      <c r="J30" s="323"/>
      <c r="K30" s="323"/>
      <c r="L30" s="323"/>
      <c r="M30" s="323"/>
      <c r="N30" s="323"/>
      <c r="O30" s="324"/>
      <c r="P30" s="324"/>
    </row>
    <row r="31" spans="2:18" ht="13.2">
      <c r="B31" s="279" t="s">
        <v>2</v>
      </c>
      <c r="C31" s="279"/>
      <c r="D31" s="279"/>
      <c r="E31" s="325"/>
      <c r="G31" s="319"/>
      <c r="H31" s="319"/>
      <c r="I31" s="319"/>
      <c r="J31" s="319"/>
      <c r="K31" s="319"/>
      <c r="L31" s="319"/>
      <c r="M31" s="319"/>
      <c r="N31" s="319"/>
      <c r="O31" s="326"/>
      <c r="P31" s="326"/>
    </row>
    <row r="32" spans="2:18" ht="13.2">
      <c r="B32" s="277"/>
      <c r="C32" s="285" t="s">
        <v>683</v>
      </c>
      <c r="D32" s="292"/>
      <c r="E32" s="319">
        <v>0</v>
      </c>
      <c r="F32" s="319">
        <v>0</v>
      </c>
      <c r="G32" s="319">
        <f ca="1">IF(G$15&lt;'Phase I - Summary'!$D$23,SUM('Area Matrix'!$D34,'Area Matrix'!$H34,'Area Matrix'!$P34,'Area Matrix'!$T34)/'Phase I - Summary'!$D$22,0)</f>
        <v>33488465.694715198</v>
      </c>
      <c r="H32" s="319">
        <f ca="1">IF(H$15&lt;'Phase I - Summary'!$D$23,SUM('Area Matrix'!$D34,'Area Matrix'!$H34,'Area Matrix'!$P34,'Area Matrix'!$T34)/'Phase I - Summary'!$D$22,0)</f>
        <v>33488465.694715198</v>
      </c>
      <c r="I32" s="319">
        <f ca="1">IF(I$15&lt;'Phase I - Summary'!$D$23,SUM('Area Matrix'!$D34,'Area Matrix'!$H34,'Area Matrix'!$P34,'Area Matrix'!$T34)/'Phase I - Summary'!$D$22,0)</f>
        <v>33488465.694715198</v>
      </c>
      <c r="J32" s="319">
        <f ca="1">IF(J$15&lt;'Phase II - Summary'!$D$23,SUM('Area Matrix'!$D57,'Area Matrix'!$H57,'Area Matrix'!$P57,'Area Matrix'!$T57)/'Phase II - Summary'!$D$22,0)</f>
        <v>52953592.56823241</v>
      </c>
      <c r="K32" s="319">
        <f ca="1">IF(K$15&lt;'Phase II - Summary'!$D$23,SUM('Area Matrix'!$D57,'Area Matrix'!$H57,'Area Matrix'!$P57,'Area Matrix'!$T57)/'Phase II - Summary'!$D$22,0)</f>
        <v>52953592.56823241</v>
      </c>
      <c r="L32" s="319">
        <f ca="1">IF(L$15&lt;'Phase II - Summary'!$D$23,SUM('Area Matrix'!$D57,'Area Matrix'!$H57,'Area Matrix'!$P57,'Area Matrix'!$T57)/'Phase II - Summary'!$D$22,0)</f>
        <v>52953592.56823241</v>
      </c>
      <c r="M32" s="319">
        <f>IF(M$15&lt;'Phase II - Summary'!$D$23,SUM('Area Matrix'!$D57,'Area Matrix'!$H57,'Area Matrix'!$P57,'Area Matrix'!$T57)/'Phase II - Summary'!$D$22,0)</f>
        <v>0</v>
      </c>
      <c r="N32" s="319">
        <f>IF(N$15&lt;'Phase II - Summary'!$D$23,SUM('Area Matrix'!$D57,'Area Matrix'!$H57,'Area Matrix'!$P57,'Area Matrix'!$T57)/'Phase II - Summary'!$D$22,0)</f>
        <v>0</v>
      </c>
      <c r="O32" s="319">
        <f>IF(O$15&lt;'Phase II - Summary'!$D$23,SUM('Area Matrix'!$D57,'Area Matrix'!$H57,'Area Matrix'!$P57,'Area Matrix'!$T57)/'Phase II - Summary'!$D$22,0)</f>
        <v>0</v>
      </c>
      <c r="P32" s="319">
        <f>IF(P$15&lt;'Phase II - Summary'!$D$23,SUM('Area Matrix'!$D57,'Area Matrix'!$H57,'Area Matrix'!$P57,'Area Matrix'!$T57)/'Phase II - Summary'!$D$22,0)</f>
        <v>0</v>
      </c>
    </row>
    <row r="33" spans="2:16" ht="13.2">
      <c r="B33" s="277"/>
      <c r="C33" s="285" t="s">
        <v>674</v>
      </c>
      <c r="D33" s="292"/>
      <c r="E33" s="319">
        <v>0</v>
      </c>
      <c r="F33" s="319">
        <v>0</v>
      </c>
      <c r="G33" s="319">
        <f ca="1">IF(G$15&lt;'Phase I - Summary'!$D$23,SUM('Area Matrix'!$D35,'Area Matrix'!$H35,'Area Matrix'!$P35,'Area Matrix'!$T35)/'Phase I - Summary'!$D$22,0)</f>
        <v>10046539.708414558</v>
      </c>
      <c r="H33" s="319">
        <f ca="1">IF(H$15&lt;'Phase I - Summary'!$D$23,SUM('Area Matrix'!$D35,'Area Matrix'!$H35,'Area Matrix'!$P35,'Area Matrix'!$T35)/'Phase I - Summary'!$D$22,0)</f>
        <v>10046539.708414558</v>
      </c>
      <c r="I33" s="319">
        <f ca="1">IF(I$15&lt;'Phase I - Summary'!$D$23,SUM('Area Matrix'!$D35,'Area Matrix'!$H35,'Area Matrix'!$P35,'Area Matrix'!$T35)/'Phase I - Summary'!$D$22,0)</f>
        <v>10046539.708414558</v>
      </c>
      <c r="J33" s="319">
        <f ca="1">IF(J$15&lt;'Phase II - Summary'!$D$23,SUM('Area Matrix'!$D58,'Area Matrix'!$H58,'Area Matrix'!$P58,'Area Matrix'!$T58)/'Phase II - Summary'!$D$22,0)</f>
        <v>15886077.770469718</v>
      </c>
      <c r="K33" s="319">
        <f ca="1">IF(K$15&lt;'Phase II - Summary'!$D$23,SUM('Area Matrix'!$D58,'Area Matrix'!$H58,'Area Matrix'!$P58,'Area Matrix'!$T58)/'Phase II - Summary'!$D$22,0)</f>
        <v>15886077.770469718</v>
      </c>
      <c r="L33" s="319">
        <f ca="1">IF(L$15&lt;'Phase II - Summary'!$D$23,SUM('Area Matrix'!$D58,'Area Matrix'!$H58,'Area Matrix'!$P58,'Area Matrix'!$T58)/'Phase II - Summary'!$D$22,0)</f>
        <v>15886077.770469718</v>
      </c>
      <c r="M33" s="319">
        <f>IF(M$15&lt;'Phase II - Summary'!$D$23,SUM('Area Matrix'!$D58,'Area Matrix'!$H58,'Area Matrix'!$P58,'Area Matrix'!$T58)/'Phase II - Summary'!$D$22,0)</f>
        <v>0</v>
      </c>
      <c r="N33" s="319">
        <f>IF(N$15&lt;'Phase II - Summary'!$D$23,SUM('Area Matrix'!$D58,'Area Matrix'!$H58,'Area Matrix'!$P58,'Area Matrix'!$T58)/'Phase II - Summary'!$D$22,0)</f>
        <v>0</v>
      </c>
      <c r="O33" s="319">
        <f>IF(O$15&lt;'Phase II - Summary'!$D$23,SUM('Area Matrix'!$D58,'Area Matrix'!$H58,'Area Matrix'!$P58,'Area Matrix'!$T58)/'Phase II - Summary'!$D$22,0)</f>
        <v>0</v>
      </c>
      <c r="P33" s="319">
        <f>IF(P$15&lt;'Phase II - Summary'!$D$23,SUM('Area Matrix'!$D58,'Area Matrix'!$H58,'Area Matrix'!$P58,'Area Matrix'!$T58)/'Phase II - Summary'!$D$22,0)</f>
        <v>0</v>
      </c>
    </row>
    <row r="34" spans="2:16" ht="13.2">
      <c r="B34" s="658" t="s">
        <v>24</v>
      </c>
      <c r="C34" s="658"/>
      <c r="D34" s="292"/>
      <c r="E34" s="319">
        <v>0</v>
      </c>
      <c r="F34" s="319">
        <v>0</v>
      </c>
      <c r="G34" s="319">
        <f ca="1">IF(G$15&lt;'Phase I - Summary'!$D$23,SUM('Area Matrix'!$D36,'Area Matrix'!$H36,'Area Matrix'!$P36,'Area Matrix'!$T36)/'Phase I - Summary'!$D$22,0)</f>
        <v>24805158.466756102</v>
      </c>
      <c r="H34" s="319">
        <f ca="1">IF(H$15&lt;'Phase I - Summary'!$D$23,SUM('Area Matrix'!$D36,'Area Matrix'!$H36,'Area Matrix'!$P36,'Area Matrix'!$T36)/'Phase I - Summary'!$D$22,0)</f>
        <v>24805158.466756102</v>
      </c>
      <c r="I34" s="319">
        <f ca="1">IF(I$15&lt;'Phase I - Summary'!$D$23,SUM('Area Matrix'!$D36,'Area Matrix'!$H36,'Area Matrix'!$P36,'Area Matrix'!$T36)/'Phase I - Summary'!$D$22,0)</f>
        <v>24805158.466756102</v>
      </c>
      <c r="J34" s="319">
        <f ca="1">IF(J$15&lt;'Phase II - Summary'!$D$23,SUM('Area Matrix'!$D59,'Area Matrix'!$H59,'Area Matrix'!$P59,'Area Matrix'!$T59)/'Phase II - Summary'!$D$22,0)</f>
        <v>44354056.738264166</v>
      </c>
      <c r="K34" s="319">
        <f ca="1">IF(K$15&lt;'Phase II - Summary'!$D$23,SUM('Area Matrix'!$D59,'Area Matrix'!$H59,'Area Matrix'!$P59,'Area Matrix'!$T59)/'Phase II - Summary'!$D$22,0)</f>
        <v>44354056.738264166</v>
      </c>
      <c r="L34" s="319">
        <f ca="1">IF(L$15&lt;'Phase II - Summary'!$D$23,SUM('Area Matrix'!$D59,'Area Matrix'!$H59,'Area Matrix'!$P59,'Area Matrix'!$T59)/'Phase II - Summary'!$D$22,0)</f>
        <v>44354056.738264166</v>
      </c>
      <c r="M34" s="319">
        <f>IF(M$15&lt;'Phase II - Summary'!$D$23,SUM('Area Matrix'!$D59,'Area Matrix'!$H59,'Area Matrix'!$P59,'Area Matrix'!$T59)/'Phase II - Summary'!$D$22,0)</f>
        <v>0</v>
      </c>
      <c r="N34" s="319">
        <f>IF(N$15&lt;'Phase II - Summary'!$D$23,SUM('Area Matrix'!$D59,'Area Matrix'!$H59,'Area Matrix'!$P59,'Area Matrix'!$T59)/'Phase II - Summary'!$D$22,0)</f>
        <v>0</v>
      </c>
      <c r="O34" s="319">
        <f>IF(O$15&lt;'Phase II - Summary'!$D$23,SUM('Area Matrix'!$D59,'Area Matrix'!$H59,'Area Matrix'!$P59,'Area Matrix'!$T59)/'Phase II - Summary'!$D$22,0)</f>
        <v>0</v>
      </c>
      <c r="P34" s="319">
        <f>IF(P$15&lt;'Phase II - Summary'!$D$23,SUM('Area Matrix'!$D59,'Area Matrix'!$H59,'Area Matrix'!$P59,'Area Matrix'!$T59)/'Phase II - Summary'!$D$22,0)</f>
        <v>0</v>
      </c>
    </row>
    <row r="35" spans="2:16" ht="13.2">
      <c r="B35" s="658" t="s">
        <v>26</v>
      </c>
      <c r="C35" s="658"/>
      <c r="D35" s="292"/>
      <c r="E35" s="319">
        <v>0</v>
      </c>
      <c r="F35" s="319">
        <v>0</v>
      </c>
      <c r="G35" s="319">
        <f ca="1">IF(G$15&lt;'Phase I - Summary'!$D$23,SUM('Area Matrix'!$D38,'Area Matrix'!$H38,'Area Matrix'!$P38,'Area Matrix'!$T38)/'Phase I - Summary'!$D$22,0)</f>
        <v>0</v>
      </c>
      <c r="H35" s="319">
        <f ca="1">IF(H$15&lt;'Phase I - Summary'!$D$23,SUM('Area Matrix'!$D38,'Area Matrix'!$H38,'Area Matrix'!$P38,'Area Matrix'!$T38)/'Phase I - Summary'!$D$22,0)</f>
        <v>0</v>
      </c>
      <c r="I35" s="319">
        <f ca="1">IF(I$15&lt;'Phase I - Summary'!$D$23,SUM('Area Matrix'!$D38,'Area Matrix'!$H38,'Area Matrix'!$P38,'Area Matrix'!$T38)/'Phase I - Summary'!$D$22,0)</f>
        <v>0</v>
      </c>
      <c r="J35" s="319">
        <f ca="1">IF(J$15&lt;'Phase II - Summary'!$D$23,SUM('Area Matrix'!$D61,'Area Matrix'!$H61,'Area Matrix'!$P61,'Area Matrix'!$T61)/'Phase II - Summary'!$D$22,0)</f>
        <v>12378755.368992448</v>
      </c>
      <c r="K35" s="319">
        <f ca="1">IF(K$15&lt;'Phase II - Summary'!$D$23,SUM('Area Matrix'!$D61,'Area Matrix'!$H61,'Area Matrix'!$P61,'Area Matrix'!$T61)/'Phase II - Summary'!$D$22,0)</f>
        <v>12378755.368992448</v>
      </c>
      <c r="L35" s="319">
        <f ca="1">IF(L$15&lt;'Phase II - Summary'!$D$23,SUM('Area Matrix'!$D61,'Area Matrix'!$H61,'Area Matrix'!$P61,'Area Matrix'!$T61)/'Phase II - Summary'!$D$22,0)</f>
        <v>12378755.368992448</v>
      </c>
      <c r="M35" s="319">
        <f>IF(M$15&lt;'Phase II - Summary'!$D$23,SUM('Area Matrix'!$D61,'Area Matrix'!$H61,'Area Matrix'!$P61,'Area Matrix'!$T61)/'Phase II - Summary'!$D$22,0)</f>
        <v>0</v>
      </c>
      <c r="N35" s="319">
        <f>IF(N$15&lt;'Phase II - Summary'!$D$23,SUM('Area Matrix'!$D61,'Area Matrix'!$H61,'Area Matrix'!$P61,'Area Matrix'!$T61)/'Phase II - Summary'!$D$22,0)</f>
        <v>0</v>
      </c>
      <c r="O35" s="319">
        <f>IF(O$15&lt;'Phase II - Summary'!$D$23,SUM('Area Matrix'!$D61,'Area Matrix'!$H61,'Area Matrix'!$P61,'Area Matrix'!$T61)/'Phase II - Summary'!$D$22,0)</f>
        <v>0</v>
      </c>
      <c r="P35" s="319">
        <f>IF(P$15&lt;'Phase II - Summary'!$D$23,SUM('Area Matrix'!$D61,'Area Matrix'!$H61,'Area Matrix'!$P61,'Area Matrix'!$T61)/'Phase II - Summary'!$D$22,0)</f>
        <v>0</v>
      </c>
    </row>
    <row r="36" spans="2:16" ht="13.2">
      <c r="B36" s="658" t="s">
        <v>44</v>
      </c>
      <c r="C36" s="658"/>
      <c r="D36" s="292"/>
      <c r="E36" s="319">
        <v>0</v>
      </c>
      <c r="F36" s="319">
        <v>0</v>
      </c>
      <c r="G36" s="319">
        <f ca="1">IF(G$15&lt;'Phase I - Summary'!$D$23,SUM('Area Matrix'!$D37,'Area Matrix'!$H37,'Area Matrix'!$P37,'Area Matrix'!$T37)/'Phase I - Summary'!$D$22,0)</f>
        <v>5911121.9537423067</v>
      </c>
      <c r="H36" s="319">
        <f ca="1">IF(H$15&lt;'Phase I - Summary'!$D$23,SUM('Area Matrix'!$D37,'Area Matrix'!$H37,'Area Matrix'!$P37,'Area Matrix'!$T37)/'Phase I - Summary'!$D$22,0)</f>
        <v>5911121.9537423067</v>
      </c>
      <c r="I36" s="319">
        <f ca="1">IF(I$15&lt;'Phase I - Summary'!$D$23,SUM('Area Matrix'!$D37,'Area Matrix'!$H37,'Area Matrix'!$P37,'Area Matrix'!$T37)/'Phase I - Summary'!$D$22,0)</f>
        <v>5911121.9537423067</v>
      </c>
      <c r="J36" s="319">
        <f ca="1">IF(J$15&lt;'Phase II - Summary'!$D$23,SUM('Area Matrix'!$D60,'Area Matrix'!$H60,'Area Matrix'!$P60,'Area Matrix'!$T60)/'Phase II - Summary'!$D$22,0)</f>
        <v>14919080.821980258</v>
      </c>
      <c r="K36" s="319">
        <f ca="1">IF(K$15&lt;'Phase II - Summary'!$D$23,SUM('Area Matrix'!$D60,'Area Matrix'!$H60,'Area Matrix'!$P60,'Area Matrix'!$T60)/'Phase II - Summary'!$D$22,0)</f>
        <v>14919080.821980258</v>
      </c>
      <c r="L36" s="319">
        <f ca="1">IF(L$15&lt;'Phase II - Summary'!$D$23,SUM('Area Matrix'!$D60,'Area Matrix'!$H60,'Area Matrix'!$P60,'Area Matrix'!$T60)/'Phase II - Summary'!$D$22,0)</f>
        <v>14919080.821980258</v>
      </c>
      <c r="M36" s="319">
        <f>IF(M$15&lt;'Phase II - Summary'!$D$23,SUM('Area Matrix'!$D60,'Area Matrix'!$H60,'Area Matrix'!$P60,'Area Matrix'!$T60)/'Phase II - Summary'!$D$22,0)</f>
        <v>0</v>
      </c>
      <c r="N36" s="319">
        <f>IF(N$15&lt;'Phase II - Summary'!$D$23,SUM('Area Matrix'!$D60,'Area Matrix'!$H60,'Area Matrix'!$P60,'Area Matrix'!$T60)/'Phase II - Summary'!$D$22,0)</f>
        <v>0</v>
      </c>
      <c r="O36" s="319">
        <f>IF(O$15&lt;'Phase II - Summary'!$D$23,SUM('Area Matrix'!$D60,'Area Matrix'!$H60,'Area Matrix'!$P60,'Area Matrix'!$T60)/'Phase II - Summary'!$D$22,0)</f>
        <v>0</v>
      </c>
      <c r="P36" s="319">
        <f>IF(P$15&lt;'Phase II - Summary'!$D$23,SUM('Area Matrix'!$D60,'Area Matrix'!$H60,'Area Matrix'!$P60,'Area Matrix'!$T60)/'Phase II - Summary'!$D$22,0)</f>
        <v>0</v>
      </c>
    </row>
    <row r="37" spans="2:16" ht="13.2">
      <c r="D37" s="292"/>
      <c r="E37" s="318"/>
      <c r="G37" s="317"/>
      <c r="H37" s="317"/>
      <c r="I37" s="317"/>
      <c r="J37" s="317"/>
      <c r="K37" s="317"/>
      <c r="L37" s="317"/>
      <c r="M37" s="317"/>
      <c r="N37" s="317"/>
      <c r="O37" s="317"/>
      <c r="P37" s="317"/>
    </row>
    <row r="38" spans="2:16" s="271" customFormat="1" ht="13.2">
      <c r="B38" s="428"/>
      <c r="C38" s="428" t="s">
        <v>758</v>
      </c>
      <c r="D38" s="428"/>
      <c r="E38" s="319">
        <v>0</v>
      </c>
      <c r="F38" s="319">
        <v>0</v>
      </c>
      <c r="G38" s="319">
        <f>'Infrastructure Budget'!$F$37/'Phase I - Summary'!$D$22</f>
        <v>973750</v>
      </c>
      <c r="H38" s="319">
        <f>'Infrastructure Budget'!$F$37/'Phase I - Summary'!$D$22</f>
        <v>973750</v>
      </c>
      <c r="I38" s="319">
        <f>'Infrastructure Budget'!$F$37/'Phase I - Summary'!$D$22</f>
        <v>973750</v>
      </c>
      <c r="J38" s="319">
        <f>'Infrastructure Budget'!$G$37/'Phase II - Summary'!$D$22</f>
        <v>647333.33333333337</v>
      </c>
      <c r="K38" s="319">
        <f>'Infrastructure Budget'!$G$37/'Phase II - Summary'!$D$22</f>
        <v>647333.33333333337</v>
      </c>
      <c r="L38" s="319">
        <f>'Infrastructure Budget'!$G$37/'Phase II - Summary'!$D$22</f>
        <v>647333.33333333337</v>
      </c>
      <c r="M38" s="319">
        <v>0</v>
      </c>
      <c r="N38" s="319">
        <v>0</v>
      </c>
      <c r="O38" s="319">
        <v>0</v>
      </c>
      <c r="P38" s="319">
        <v>0</v>
      </c>
    </row>
    <row r="39" spans="2:16" s="271" customFormat="1" ht="13.2">
      <c r="B39" s="664" t="s">
        <v>757</v>
      </c>
      <c r="C39" s="664"/>
      <c r="D39" s="342"/>
      <c r="E39" s="319">
        <v>0</v>
      </c>
      <c r="F39" s="319">
        <v>0</v>
      </c>
      <c r="G39" s="319">
        <f>'Infrastructure Budget'!$F$21/'Phase I - Summary'!$D$22</f>
        <v>44850</v>
      </c>
      <c r="H39" s="319">
        <f>'Infrastructure Budget'!$F$21/'Phase I - Summary'!$D$22</f>
        <v>44850</v>
      </c>
      <c r="I39" s="319">
        <f>'Infrastructure Budget'!$F$21/'Phase I - Summary'!$D$22</f>
        <v>44850</v>
      </c>
      <c r="J39" s="319">
        <f>'Infrastructure Budget'!$G$21/'Phase II - Summary'!$D$22</f>
        <v>51458.333333333336</v>
      </c>
      <c r="K39" s="319">
        <f>'Infrastructure Budget'!$G$21/'Phase II - Summary'!$D$22</f>
        <v>51458.333333333336</v>
      </c>
      <c r="L39" s="319">
        <f>'Infrastructure Budget'!$G$21/'Phase II - Summary'!$D$22</f>
        <v>51458.333333333336</v>
      </c>
      <c r="M39" s="319">
        <v>0</v>
      </c>
      <c r="N39" s="319">
        <v>0</v>
      </c>
      <c r="O39" s="319">
        <v>0</v>
      </c>
      <c r="P39" s="319">
        <v>0</v>
      </c>
    </row>
    <row r="40" spans="2:16" s="271" customFormat="1" ht="13.2">
      <c r="B40" s="664" t="s">
        <v>759</v>
      </c>
      <c r="C40" s="664" t="s">
        <v>759</v>
      </c>
      <c r="D40" s="428"/>
      <c r="E40" s="319">
        <v>0</v>
      </c>
      <c r="F40" s="319">
        <v>0</v>
      </c>
      <c r="G40" s="319">
        <f>'Infrastructure Budget'!$F$23/'Phase I - Summary'!$D$22</f>
        <v>233333.33333333334</v>
      </c>
      <c r="H40" s="319">
        <f>'Infrastructure Budget'!$F$23/'Phase I - Summary'!$D$22</f>
        <v>233333.33333333334</v>
      </c>
      <c r="I40" s="319">
        <f>'Infrastructure Budget'!$F$23/'Phase I - Summary'!$D$22</f>
        <v>233333.33333333334</v>
      </c>
      <c r="J40" s="319">
        <f>'Infrastructure Budget'!$G$23/'Phase II - Summary'!$D$22</f>
        <v>166666.66666666666</v>
      </c>
      <c r="K40" s="319">
        <f>'Infrastructure Budget'!$G$23/'Phase II - Summary'!$D$22</f>
        <v>166666.66666666666</v>
      </c>
      <c r="L40" s="319">
        <f>'Infrastructure Budget'!$G$23/'Phase II - Summary'!$D$22</f>
        <v>166666.66666666666</v>
      </c>
      <c r="M40" s="319"/>
      <c r="N40" s="319"/>
      <c r="O40" s="319"/>
      <c r="P40" s="319"/>
    </row>
    <row r="41" spans="2:16" s="271" customFormat="1" ht="13.2">
      <c r="B41" s="428"/>
      <c r="C41" s="428" t="s">
        <v>49</v>
      </c>
      <c r="D41" s="428"/>
      <c r="E41" s="319">
        <v>0</v>
      </c>
      <c r="F41" s="319">
        <v>0</v>
      </c>
      <c r="G41" s="319">
        <f>IF(G15='Phase I - Summary'!$D$21,'Infrastructure Budget'!$F$25,0)</f>
        <v>924664</v>
      </c>
      <c r="H41" s="319">
        <f>-IF(H15='Phase I - Summary'!$D$21,'Infrastructure Budget'!$F$25,0)</f>
        <v>0</v>
      </c>
      <c r="I41" s="319">
        <f>-IF(I15='Phase I - Summary'!$D$21,'Infrastructure Budget'!$F$25,0)</f>
        <v>0</v>
      </c>
      <c r="J41" s="319">
        <f>IF(J15='Phase II - Summary'!$D$21,'Infrastructure Budget'!$G$25,0)</f>
        <v>970890</v>
      </c>
      <c r="K41" s="319">
        <f>-IF(K15='Phase II - Summary'!$D$21,'Infrastructure Budget'!$G$25,0)</f>
        <v>0</v>
      </c>
      <c r="L41" s="319">
        <f>-IF(L15='Phase II - Summary'!$D$21,'Infrastructure Budget'!$G$25,0)</f>
        <v>0</v>
      </c>
      <c r="M41" s="319">
        <f>-IF(M15='Phase II - Summary'!$D$21,'Infrastructure Budget'!$G$25,0)</f>
        <v>0</v>
      </c>
      <c r="N41" s="319">
        <f>-IF(N15='Phase II - Summary'!$D$21,'Infrastructure Budget'!$G$25,0)</f>
        <v>0</v>
      </c>
      <c r="O41" s="319">
        <f>-IF(O15='Phase II - Summary'!$D$21,'Infrastructure Budget'!$G$25,0)</f>
        <v>0</v>
      </c>
      <c r="P41" s="319">
        <f>-IF(P15='Phase II - Summary'!$D$21,'Infrastructure Budget'!$G$25,0)</f>
        <v>0</v>
      </c>
    </row>
    <row r="42" spans="2:16" s="271" customFormat="1" ht="13.2">
      <c r="B42" s="428"/>
      <c r="C42" s="428" t="s">
        <v>752</v>
      </c>
      <c r="D42" s="428"/>
      <c r="E42" s="319">
        <v>0</v>
      </c>
      <c r="F42" s="319">
        <v>0</v>
      </c>
      <c r="G42" s="319">
        <f>'Infrastructure Budget'!$F$27/'Phase I - Summary'!$D$22</f>
        <v>138000</v>
      </c>
      <c r="H42" s="319">
        <f>'Infrastructure Budget'!$F$27/'Phase I - Summary'!$D$22</f>
        <v>138000</v>
      </c>
      <c r="I42" s="319">
        <f>'Infrastructure Budget'!$F$27/'Phase I - Summary'!$D$22</f>
        <v>138000</v>
      </c>
      <c r="J42" s="319">
        <f>'Infrastructure Budget'!$G$27/'Phase II - Summary'!$D$22</f>
        <v>158333.33333333334</v>
      </c>
      <c r="K42" s="319">
        <f>'Infrastructure Budget'!$G$27/'Phase II - Summary'!$D$22</f>
        <v>158333.33333333334</v>
      </c>
      <c r="L42" s="319">
        <f>'Infrastructure Budget'!$G$27/'Phase II - Summary'!$D$22</f>
        <v>158333.33333333334</v>
      </c>
      <c r="M42" s="319">
        <f>-IF(M16='Phase II - Summary'!$D$21,'Infrastructure Budget'!$G$25,0)</f>
        <v>0</v>
      </c>
      <c r="N42" s="319">
        <f>-IF(N16='Phase II - Summary'!$D$21,'Infrastructure Budget'!$G$25,0)</f>
        <v>0</v>
      </c>
      <c r="O42" s="319">
        <f>-IF(O16='Phase II - Summary'!$D$21,'Infrastructure Budget'!$G$25,0)</f>
        <v>0</v>
      </c>
      <c r="P42" s="319">
        <f>-IF(P16='Phase II - Summary'!$D$21,'Infrastructure Budget'!$G$25,0)</f>
        <v>0</v>
      </c>
    </row>
    <row r="43" spans="2:16" s="271" customFormat="1" ht="13.2">
      <c r="B43" s="428"/>
      <c r="C43" s="428" t="s">
        <v>745</v>
      </c>
      <c r="D43" s="428"/>
      <c r="E43" s="319">
        <v>0</v>
      </c>
      <c r="F43" s="319">
        <v>0</v>
      </c>
      <c r="G43" s="319">
        <f ca="1">'Infrastructure Budget'!$F$30/'Phase I - Summary'!$D$22</f>
        <v>2373274</v>
      </c>
      <c r="H43" s="319">
        <f ca="1">'Infrastructure Budget'!$F$30/'Phase I - Summary'!$D$22</f>
        <v>2373274</v>
      </c>
      <c r="I43" s="319">
        <f ca="1">'Infrastructure Budget'!$F$30/'Phase I - Summary'!$D$22</f>
        <v>2373274</v>
      </c>
      <c r="J43" s="319">
        <f>'Infrastructure Budget'!$G$30/'Phase II - Summary'!$D$22</f>
        <v>3333606.5539525952</v>
      </c>
      <c r="K43" s="319">
        <f>'Infrastructure Budget'!$G$30/'Phase II - Summary'!$D$22</f>
        <v>3333606.5539525952</v>
      </c>
      <c r="L43" s="319">
        <f>'Infrastructure Budget'!$G$30/'Phase II - Summary'!$D$22</f>
        <v>3333606.5539525952</v>
      </c>
      <c r="M43" s="319">
        <f>-IF(M17='Phase II - Summary'!$D$21,'Infrastructure Budget'!$G$25,0)</f>
        <v>0</v>
      </c>
      <c r="N43" s="319">
        <f>-IF(N17='Phase II - Summary'!$D$21,'Infrastructure Budget'!$G$25,0)</f>
        <v>0</v>
      </c>
      <c r="O43" s="319">
        <f>-IF(O17='Phase II - Summary'!$D$21,'Infrastructure Budget'!$G$25,0)</f>
        <v>0</v>
      </c>
      <c r="P43" s="319">
        <f>-IF(P17='Phase II - Summary'!$D$21,'Infrastructure Budget'!$G$25,0)</f>
        <v>0</v>
      </c>
    </row>
    <row r="44" spans="2:16" s="271" customFormat="1" ht="13.2">
      <c r="B44" s="664" t="s">
        <v>27</v>
      </c>
      <c r="C44" s="664"/>
      <c r="D44" s="342"/>
      <c r="E44" s="319">
        <v>0</v>
      </c>
      <c r="F44" s="319">
        <v>0</v>
      </c>
      <c r="G44" s="319">
        <f ca="1">'Infrastructure Budget'!$F$33/'Phase I - Summary'!$D$22</f>
        <v>913333.33333333337</v>
      </c>
      <c r="H44" s="319">
        <f ca="1">'Infrastructure Budget'!$F$33/'Phase I - Summary'!$D$22</f>
        <v>913333.33333333337</v>
      </c>
      <c r="I44" s="319">
        <f ca="1">'Infrastructure Budget'!$F$33/'Phase I - Summary'!$D$22</f>
        <v>913333.33333333337</v>
      </c>
      <c r="J44" s="319">
        <f>'Infrastructure Budget'!$G$33/'Phase II - Summary'!$D$22</f>
        <v>1282400.5036555557</v>
      </c>
      <c r="K44" s="319">
        <f>'Infrastructure Budget'!$G$33/'Phase II - Summary'!$D$22</f>
        <v>1282400.5036555557</v>
      </c>
      <c r="L44" s="319">
        <f>'Infrastructure Budget'!$G$33/'Phase II - Summary'!$D$22</f>
        <v>1282400.5036555557</v>
      </c>
      <c r="M44" s="319">
        <f>IF(M$15&lt;'Phase II - Summary'!$D$23,SUM('Area Matrix'!$D62,'Area Matrix'!$H62,'Area Matrix'!$P62,'Area Matrix'!$T62)/'Phase II - Summary'!$D$22,0)</f>
        <v>0</v>
      </c>
      <c r="N44" s="319">
        <f>IF(N$15&lt;'Phase II - Summary'!$D$23,SUM('Area Matrix'!$D62,'Area Matrix'!$H62,'Area Matrix'!$P62,'Area Matrix'!$T62)/'Phase II - Summary'!$D$22,0)</f>
        <v>0</v>
      </c>
      <c r="O44" s="319">
        <f>IF(O$15&lt;'Phase II - Summary'!$D$23,SUM('Area Matrix'!$D62,'Area Matrix'!$H62,'Area Matrix'!$P62,'Area Matrix'!$T62)/'Phase II - Summary'!$D$22,0)</f>
        <v>0</v>
      </c>
      <c r="P44" s="319">
        <f>IF(P$15&lt;'Phase II - Summary'!$D$23,SUM('Area Matrix'!$D62,'Area Matrix'!$H62,'Area Matrix'!$P62,'Area Matrix'!$T62)/'Phase II - Summary'!$D$22,0)</f>
        <v>0</v>
      </c>
    </row>
    <row r="45" spans="2:16" ht="13.2">
      <c r="B45" s="285"/>
      <c r="C45" s="285" t="s">
        <v>46</v>
      </c>
      <c r="D45" s="292"/>
      <c r="E45" s="319">
        <f>'Phase I - Pro Forma'!F18+'Phase II - Pro Forma'!F18</f>
        <v>148677820</v>
      </c>
      <c r="F45" s="319">
        <f>'Phase I - Pro Forma'!G18+'Phase II - Pro Forma'!G18</f>
        <v>0</v>
      </c>
      <c r="G45" s="319">
        <f>'Phase I - Pro Forma'!G18+'Phase II - Pro Forma'!G18</f>
        <v>0</v>
      </c>
      <c r="H45" s="319">
        <f>'Phase I - Pro Forma'!H18+'Phase II - Pro Forma'!H18</f>
        <v>0</v>
      </c>
      <c r="I45" s="319">
        <f>'Phase I - Pro Forma'!I18+'Phase II - Pro Forma'!I18</f>
        <v>0</v>
      </c>
      <c r="J45" s="319">
        <f>'Phase I - Pro Forma'!J18+'Phase II - Pro Forma'!J18</f>
        <v>0</v>
      </c>
      <c r="K45" s="319">
        <f>'Phase I - Pro Forma'!K18+'Phase II - Pro Forma'!K18</f>
        <v>0</v>
      </c>
      <c r="L45" s="319">
        <f>'Phase I - Pro Forma'!L18+'Phase II - Pro Forma'!L18</f>
        <v>0</v>
      </c>
      <c r="M45" s="319">
        <f>'Phase I - Pro Forma'!M18+'Phase II - Pro Forma'!M18</f>
        <v>0</v>
      </c>
      <c r="N45" s="319">
        <f>'Phase I - Pro Forma'!N18+'Phase II - Pro Forma'!N18</f>
        <v>0</v>
      </c>
      <c r="O45" s="319">
        <f>'Phase I - Pro Forma'!O18+'Phase II - Pro Forma'!O18</f>
        <v>0</v>
      </c>
      <c r="P45" s="319">
        <f>'Phase I - Pro Forma'!P18+'Phase II - Pro Forma'!P18</f>
        <v>0</v>
      </c>
    </row>
    <row r="46" spans="2:16" ht="13.2">
      <c r="B46" s="673" t="s">
        <v>38</v>
      </c>
      <c r="C46" s="673"/>
      <c r="D46" s="437"/>
      <c r="E46" s="438">
        <f t="shared" ref="E46:P46" si="4">SUM(E38:E45)</f>
        <v>148677820</v>
      </c>
      <c r="F46" s="438">
        <f t="shared" si="4"/>
        <v>0</v>
      </c>
      <c r="G46" s="438">
        <f t="shared" ca="1" si="4"/>
        <v>5601204.666666666</v>
      </c>
      <c r="H46" s="438">
        <f t="shared" ca="1" si="4"/>
        <v>4676540.666666666</v>
      </c>
      <c r="I46" s="438">
        <f t="shared" ca="1" si="4"/>
        <v>4676540.666666666</v>
      </c>
      <c r="J46" s="438">
        <f t="shared" si="4"/>
        <v>6610688.7242748179</v>
      </c>
      <c r="K46" s="438">
        <f t="shared" si="4"/>
        <v>5639798.7242748179</v>
      </c>
      <c r="L46" s="438">
        <f t="shared" si="4"/>
        <v>5639798.7242748179</v>
      </c>
      <c r="M46" s="438">
        <f t="shared" si="4"/>
        <v>0</v>
      </c>
      <c r="N46" s="438">
        <f t="shared" si="4"/>
        <v>0</v>
      </c>
      <c r="O46" s="438">
        <f t="shared" si="4"/>
        <v>0</v>
      </c>
      <c r="P46" s="438">
        <f t="shared" si="4"/>
        <v>0</v>
      </c>
    </row>
    <row r="47" spans="2:16" ht="13.2">
      <c r="B47" s="413"/>
      <c r="C47" s="413"/>
      <c r="D47" s="413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</row>
    <row r="48" spans="2:16" ht="13.2">
      <c r="B48" s="667" t="s">
        <v>3</v>
      </c>
      <c r="C48" s="667"/>
      <c r="D48" s="315"/>
      <c r="E48" s="327">
        <f>SUM(E32:E45)</f>
        <v>148677820</v>
      </c>
      <c r="F48" s="327">
        <f t="shared" ref="F48:P48" si="5">SUM(F32:F45)</f>
        <v>0</v>
      </c>
      <c r="G48" s="327">
        <f t="shared" ca="1" si="5"/>
        <v>79852490.490294829</v>
      </c>
      <c r="H48" s="327">
        <f t="shared" ca="1" si="5"/>
        <v>78927826.490294829</v>
      </c>
      <c r="I48" s="327">
        <f t="shared" ca="1" si="5"/>
        <v>78927826.490294829</v>
      </c>
      <c r="J48" s="327">
        <f t="shared" ca="1" si="5"/>
        <v>147102251.99221385</v>
      </c>
      <c r="K48" s="327">
        <f t="shared" ca="1" si="5"/>
        <v>146131361.99221385</v>
      </c>
      <c r="L48" s="327">
        <f t="shared" ca="1" si="5"/>
        <v>146131361.99221385</v>
      </c>
      <c r="M48" s="327">
        <f t="shared" si="5"/>
        <v>0</v>
      </c>
      <c r="N48" s="327">
        <f t="shared" si="5"/>
        <v>0</v>
      </c>
      <c r="O48" s="327">
        <f t="shared" si="5"/>
        <v>0</v>
      </c>
      <c r="P48" s="327">
        <f t="shared" si="5"/>
        <v>0</v>
      </c>
    </row>
    <row r="49" spans="2:16" s="274" customFormat="1" ht="13.2">
      <c r="B49" s="273"/>
      <c r="C49" s="273"/>
      <c r="D49" s="273"/>
      <c r="E49" s="322"/>
      <c r="G49" s="323"/>
      <c r="H49" s="323"/>
      <c r="I49" s="323"/>
      <c r="J49" s="323"/>
      <c r="K49" s="323"/>
      <c r="L49" s="323"/>
      <c r="M49" s="323"/>
      <c r="N49" s="323"/>
      <c r="O49" s="324"/>
      <c r="P49" s="324"/>
    </row>
    <row r="50" spans="2:16" ht="13.2">
      <c r="B50" s="279" t="s">
        <v>4</v>
      </c>
      <c r="C50" s="279"/>
      <c r="D50" s="279"/>
      <c r="E50" s="325"/>
      <c r="G50" s="319"/>
      <c r="H50" s="319"/>
      <c r="I50" s="319"/>
      <c r="J50" s="319"/>
      <c r="K50" s="319"/>
      <c r="L50" s="319"/>
      <c r="M50" s="319"/>
      <c r="N50" s="319"/>
      <c r="O50" s="326"/>
      <c r="P50" s="326"/>
    </row>
    <row r="51" spans="2:16" ht="13.2">
      <c r="B51" s="658" t="s">
        <v>5</v>
      </c>
      <c r="C51" s="658"/>
      <c r="D51" s="292"/>
      <c r="E51" s="319">
        <f t="shared" ref="E51:P51" si="6">E25</f>
        <v>0</v>
      </c>
      <c r="F51" s="319">
        <f t="shared" si="6"/>
        <v>0</v>
      </c>
      <c r="G51" s="319">
        <f t="shared" si="6"/>
        <v>0</v>
      </c>
      <c r="H51" s="319">
        <f t="shared" si="6"/>
        <v>0</v>
      </c>
      <c r="I51" s="319">
        <f t="shared" si="6"/>
        <v>0</v>
      </c>
      <c r="J51" s="319">
        <f t="shared" ca="1" si="6"/>
        <v>-20110453.109162092</v>
      </c>
      <c r="K51" s="319">
        <f t="shared" ca="1" si="6"/>
        <v>19394798.637220349</v>
      </c>
      <c r="L51" s="319">
        <f t="shared" ca="1" si="6"/>
        <v>19940182.977748509</v>
      </c>
      <c r="M51" s="319">
        <f t="shared" ca="1" si="6"/>
        <v>57498698.42205479</v>
      </c>
      <c r="N51" s="319">
        <f t="shared" ca="1" si="6"/>
        <v>59318014.934576817</v>
      </c>
      <c r="O51" s="319">
        <f t="shared" ca="1" si="6"/>
        <v>61185122.404727742</v>
      </c>
      <c r="P51" s="319">
        <f t="shared" ca="1" si="6"/>
        <v>63101067.745189369</v>
      </c>
    </row>
    <row r="52" spans="2:16" ht="13.2">
      <c r="B52" s="285"/>
      <c r="C52" s="285" t="s">
        <v>40</v>
      </c>
      <c r="D52" s="292"/>
      <c r="E52" s="319">
        <f>'Phase I - Pro Forma'!F42+'Phase II - Pro Forma'!F42</f>
        <v>0</v>
      </c>
      <c r="F52" s="319">
        <f>'Phase I - Pro Forma'!G42+'Phase II - Pro Forma'!G42</f>
        <v>0</v>
      </c>
      <c r="G52" s="319">
        <f>'Phase I - Pro Forma'!H42+'Phase II - Pro Forma'!H42</f>
        <v>0</v>
      </c>
      <c r="H52" s="319">
        <f>'Phase I - Pro Forma'!I42+'Phase II - Pro Forma'!I42</f>
        <v>0</v>
      </c>
      <c r="I52" s="319">
        <f>'Phase I - Pro Forma'!J42+'Phase II - Pro Forma'!J42</f>
        <v>0</v>
      </c>
      <c r="J52" s="319">
        <f ca="1">'Phase I - Pro Forma'!K42+'Phase II - Pro Forma'!K42</f>
        <v>346335689.95036346</v>
      </c>
      <c r="K52" s="319">
        <f ca="1">'Phase I - Pro Forma'!L42+'Phase II - Pro Forma'!L42</f>
        <v>356074696.03122336</v>
      </c>
      <c r="L52" s="319">
        <f ca="1">'Phase I - Pro Forma'!M42+'Phase II - Pro Forma'!M42</f>
        <v>366060359.67857832</v>
      </c>
      <c r="M52" s="319">
        <f ca="1">'Phase I - Pro Forma'!N42+'Phase II - Pro Forma'!N42</f>
        <v>1226194266.9415572</v>
      </c>
      <c r="N52" s="319">
        <f ca="1">'Phase I - Pro Forma'!O42+'Phase II - Pro Forma'!O42</f>
        <v>1265120450.6240778</v>
      </c>
      <c r="O52" s="319">
        <f ca="1">'Phase I - Pro Forma'!P42+'Phase II - Pro Forma'!P42</f>
        <v>1305068056.2701192</v>
      </c>
      <c r="P52" s="319">
        <f ca="1">'Phase I - Pro Forma'!Q42+'Phase II - Pro Forma'!Q42</f>
        <v>1346059402.042573</v>
      </c>
    </row>
    <row r="53" spans="2:16" ht="13.2">
      <c r="B53" s="658" t="s">
        <v>13</v>
      </c>
      <c r="C53" s="658"/>
      <c r="D53" s="292"/>
      <c r="E53" s="319">
        <f>IF(E$15='Phase I - Summary'!$D$24,'Phase I - Pro Forma'!F43+'Phase II - Pro Forma'!F43,0)</f>
        <v>0</v>
      </c>
      <c r="F53" s="319">
        <f>IF(F$15='Phase I - Summary'!$D$24,'Phase I - Pro Forma'!G43+'Phase II - Pro Forma'!G43,0)</f>
        <v>0</v>
      </c>
      <c r="G53" s="319">
        <f>IF(G$15='Phase I - Summary'!$D$24,'Phase I - Pro Forma'!H43+'Phase II - Pro Forma'!H43,0)</f>
        <v>0</v>
      </c>
      <c r="H53" s="319">
        <f>IF(H$15='Phase I - Summary'!$D$24,'Phase I - Pro Forma'!I43+'Phase II - Pro Forma'!I43,0)</f>
        <v>0</v>
      </c>
      <c r="I53" s="319">
        <f>IF(I$15='Phase I - Summary'!$D$24,'Phase I - Pro Forma'!J43+'Phase II - Pro Forma'!J43,0)</f>
        <v>0</v>
      </c>
      <c r="J53" s="319">
        <f ca="1">IF(J$15='Phase I - Summary'!$D$24,'Phase I - Pro Forma'!K43+'Phase II - Pro Forma'!K43,0)</f>
        <v>-3463356.8995036348</v>
      </c>
      <c r="K53" s="319">
        <f>IF(K$15='Phase I - Summary'!$D$24,'Phase I - Pro Forma'!L43+'Phase II - Pro Forma'!L43,0)</f>
        <v>0</v>
      </c>
      <c r="L53" s="319">
        <f>IF(L$15='Phase I - Summary'!$D$24,'Phase I - Pro Forma'!M43+'Phase II - Pro Forma'!M43,0)</f>
        <v>0</v>
      </c>
      <c r="M53" s="319">
        <f>IF(M$15='Phase I - Summary'!$D$24,'Phase I - Pro Forma'!N43+'Phase II - Pro Forma'!N43,0)</f>
        <v>0</v>
      </c>
      <c r="N53" s="319">
        <f>IF(N$15='Phase I - Summary'!$D$24,'Phase I - Pro Forma'!O43+'Phase II - Pro Forma'!O43,0)</f>
        <v>0</v>
      </c>
      <c r="O53" s="319">
        <f>IF(O$15='Phase I - Summary'!$D$24,'Phase I - Pro Forma'!P43+'Phase II - Pro Forma'!P43,0)</f>
        <v>0</v>
      </c>
      <c r="P53" s="319">
        <f>IF(P$15='Phase I - Summary'!$D$24,'Phase I - Pro Forma'!Q43+'Phase II - Pro Forma'!Q43,0)</f>
        <v>0</v>
      </c>
    </row>
    <row r="54" spans="2:16" ht="13.2">
      <c r="B54" s="658" t="s">
        <v>3</v>
      </c>
      <c r="C54" s="658"/>
      <c r="D54" s="292"/>
      <c r="E54" s="319">
        <f>E48</f>
        <v>148677820</v>
      </c>
      <c r="F54" s="319">
        <f t="shared" ref="F54:P54" si="7">F48</f>
        <v>0</v>
      </c>
      <c r="G54" s="319">
        <f t="shared" ca="1" si="7"/>
        <v>79852490.490294829</v>
      </c>
      <c r="H54" s="319">
        <f t="shared" ca="1" si="7"/>
        <v>78927826.490294829</v>
      </c>
      <c r="I54" s="319">
        <f t="shared" ca="1" si="7"/>
        <v>78927826.490294829</v>
      </c>
      <c r="J54" s="319">
        <f t="shared" ca="1" si="7"/>
        <v>147102251.99221385</v>
      </c>
      <c r="K54" s="319">
        <f t="shared" ca="1" si="7"/>
        <v>146131361.99221385</v>
      </c>
      <c r="L54" s="319">
        <f t="shared" ca="1" si="7"/>
        <v>146131361.99221385</v>
      </c>
      <c r="M54" s="319">
        <f t="shared" si="7"/>
        <v>0</v>
      </c>
      <c r="N54" s="319">
        <f t="shared" si="7"/>
        <v>0</v>
      </c>
      <c r="O54" s="319">
        <f t="shared" si="7"/>
        <v>0</v>
      </c>
      <c r="P54" s="319">
        <f t="shared" si="7"/>
        <v>0</v>
      </c>
    </row>
    <row r="55" spans="2:16" ht="13.2">
      <c r="B55" s="315" t="s">
        <v>6</v>
      </c>
      <c r="C55" s="316"/>
      <c r="D55" s="316"/>
      <c r="E55" s="327">
        <f ca="1">'Phase I - Pro Forma'!F46+'Phase II - Pro Forma'!F46</f>
        <v>-148677820</v>
      </c>
      <c r="F55" s="327">
        <f ca="1">'Phase I - Pro Forma'!G46+'Phase II - Pro Forma'!G46</f>
        <v>0</v>
      </c>
      <c r="G55" s="327">
        <f ca="1">'Phase I - Pro Forma'!H46+'Phase II - Pro Forma'!H46</f>
        <v>-68271334.227779999</v>
      </c>
      <c r="H55" s="327">
        <f ca="1">'Phase I - Pro Forma'!I46+'Phase II - Pro Forma'!I46</f>
        <v>-68271334.227779999</v>
      </c>
      <c r="I55" s="327">
        <f ca="1">'Phase I - Pro Forma'!J46+'Phase II - Pro Forma'!J46</f>
        <v>-68271334.227779999</v>
      </c>
      <c r="J55" s="327">
        <f ca="1">'Phase I - Pro Forma'!K46+'Phase II - Pro Forma'!K46</f>
        <v>-133947289.27695709</v>
      </c>
      <c r="K55" s="327">
        <f ca="1">'Phase I - Pro Forma'!L46+'Phase II - Pro Forma'!L46</f>
        <v>-94442037.530574664</v>
      </c>
      <c r="L55" s="327">
        <f ca="1">'Phase I - Pro Forma'!M46+'Phase II - Pro Forma'!M46</f>
        <v>-93896653.190046504</v>
      </c>
      <c r="M55" s="327">
        <f ca="1">'Phase I - Pro Forma'!N46+'Phase II - Pro Forma'!N46</f>
        <v>57498698.422054775</v>
      </c>
      <c r="N55" s="327">
        <f ca="1">'Phase I - Pro Forma'!O46+'Phase II - Pro Forma'!O46</f>
        <v>59318014.934576809</v>
      </c>
      <c r="O55" s="327">
        <f ca="1">'Phase I - Pro Forma'!P46+'Phase II - Pro Forma'!P46</f>
        <v>61185122.404727727</v>
      </c>
      <c r="P55" s="327">
        <f ca="1">'Phase I - Pro Forma'!Q46+'Phase II - Pro Forma'!Q46</f>
        <v>1395699875.7673368</v>
      </c>
    </row>
    <row r="56" spans="2:16" ht="13.2">
      <c r="B56" s="269" t="s">
        <v>51</v>
      </c>
      <c r="C56" s="287"/>
      <c r="D56" s="299"/>
      <c r="E56" s="327">
        <f ca="1">'Phase I - Pro Forma'!F76+'Phase II - Pro Forma'!F75</f>
        <v>-148677820</v>
      </c>
      <c r="F56" s="327">
        <f ca="1">'Phase I - Pro Forma'!G76+'Phase II - Pro Forma'!G75</f>
        <v>0</v>
      </c>
      <c r="G56" s="327">
        <f ca="1">'Phase I - Pro Forma'!H76+'Phase II - Pro Forma'!H75</f>
        <v>-10167556.843583971</v>
      </c>
      <c r="H56" s="327">
        <f ca="1">'Phase I - Pro Forma'!I76+'Phase II - Pro Forma'!I75</f>
        <v>0</v>
      </c>
      <c r="I56" s="327">
        <f ca="1">'Phase I - Pro Forma'!J76+'Phase II - Pro Forma'!J75</f>
        <v>0</v>
      </c>
      <c r="J56" s="327">
        <f ca="1">'Phase I - Pro Forma'!K76+'Phase II - Pro Forma'!K75</f>
        <v>-254254617.25436983</v>
      </c>
      <c r="K56" s="327">
        <f ca="1">'Phase I - Pro Forma'!L76+'Phase II - Pro Forma'!L75</f>
        <v>19394798.637220353</v>
      </c>
      <c r="L56" s="327">
        <f ca="1">'Phase I - Pro Forma'!M76+'Phase II - Pro Forma'!M75</f>
        <v>19940182.977748509</v>
      </c>
      <c r="M56" s="327">
        <f ca="1">'Phase I - Pro Forma'!N76+'Phase II - Pro Forma'!N75</f>
        <v>57498698.422054775</v>
      </c>
      <c r="N56" s="327">
        <f ca="1">'Phase I - Pro Forma'!O76+'Phase II - Pro Forma'!O75</f>
        <v>59318014.934576809</v>
      </c>
      <c r="O56" s="327">
        <f ca="1">'Phase I - Pro Forma'!P76+'Phase II - Pro Forma'!P75</f>
        <v>61185122.404727727</v>
      </c>
      <c r="P56" s="327">
        <f ca="1">'Phase I - Pro Forma'!Q76+'Phase II - Pro Forma'!Q75</f>
        <v>1963949177.6433396</v>
      </c>
    </row>
    <row r="57" spans="2:16" ht="13.8" thickBot="1">
      <c r="B57" s="294"/>
      <c r="C57" s="299"/>
      <c r="D57" s="29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271"/>
    </row>
    <row r="58" spans="2:16" ht="13.8" thickBot="1">
      <c r="B58" s="279" t="s">
        <v>684</v>
      </c>
      <c r="C58" s="279"/>
      <c r="E58" s="327">
        <f ca="1">NPV(H58,F56:P56)</f>
        <v>773481679.3339597</v>
      </c>
      <c r="H58" s="489">
        <f>'Phase I - CF MF Market Rental'!M27</f>
        <v>0.08</v>
      </c>
      <c r="I58" s="271" t="s">
        <v>686</v>
      </c>
      <c r="J58" s="271"/>
      <c r="K58" s="271"/>
      <c r="L58" s="271"/>
      <c r="M58" s="271"/>
      <c r="N58" s="272"/>
      <c r="O58" s="272"/>
      <c r="P58" s="271"/>
    </row>
    <row r="59" spans="2:16" ht="13.2">
      <c r="B59" s="279" t="s">
        <v>12</v>
      </c>
      <c r="C59" s="279"/>
      <c r="D59" s="328"/>
      <c r="E59" s="319">
        <f ca="1">SUM(E58,E56)</f>
        <v>624803859.3339597</v>
      </c>
      <c r="F59" s="271"/>
      <c r="G59" s="271"/>
      <c r="H59" s="271"/>
      <c r="J59" s="271"/>
      <c r="K59" s="271"/>
      <c r="L59" s="271"/>
      <c r="M59" s="271"/>
      <c r="N59" s="300"/>
      <c r="O59" s="300"/>
      <c r="P59" s="271"/>
    </row>
    <row r="60" spans="2:16" ht="13.2">
      <c r="B60" s="269" t="s">
        <v>29</v>
      </c>
      <c r="C60" s="279"/>
      <c r="D60" s="279"/>
      <c r="E60" s="329">
        <f>'Phase I - Summary'!I35</f>
        <v>0.65</v>
      </c>
      <c r="F60" s="271"/>
      <c r="G60" s="271"/>
      <c r="H60" s="271"/>
      <c r="I60" s="288"/>
      <c r="J60" s="271"/>
      <c r="K60" s="271"/>
      <c r="L60" s="271"/>
      <c r="M60" s="271"/>
      <c r="N60" s="272"/>
      <c r="O60" s="272"/>
      <c r="P60" s="271"/>
    </row>
    <row r="61" spans="2:16" ht="13.2">
      <c r="B61" s="279" t="s">
        <v>41</v>
      </c>
      <c r="C61" s="279"/>
      <c r="D61" s="279"/>
      <c r="E61" s="329">
        <f ca="1">IRR(E55:P55)</f>
        <v>0.12129729951304302</v>
      </c>
      <c r="F61" s="271"/>
      <c r="G61" s="271"/>
      <c r="H61" s="288" t="s">
        <v>42</v>
      </c>
      <c r="I61" s="271"/>
      <c r="J61" s="271"/>
      <c r="K61" s="339">
        <f>'Phase I - Summary'!G14+'Phase II - Summary'!G14</f>
        <v>148677820</v>
      </c>
      <c r="L61" s="271"/>
      <c r="M61" s="271"/>
      <c r="N61" s="272"/>
      <c r="O61" s="272"/>
      <c r="P61" s="271"/>
    </row>
    <row r="62" spans="2:16" ht="13.2">
      <c r="B62" s="279" t="s">
        <v>35</v>
      </c>
      <c r="C62" s="279"/>
      <c r="D62" s="279"/>
      <c r="E62" s="329">
        <f ca="1">IRR(E56:P56)</f>
        <v>0.22644975449132687</v>
      </c>
      <c r="F62" s="271"/>
      <c r="G62" s="271"/>
      <c r="H62" s="288" t="s">
        <v>43</v>
      </c>
      <c r="I62" s="271"/>
      <c r="J62" s="271"/>
      <c r="K62" s="319">
        <f ca="1">P52</f>
        <v>1346059402.042573</v>
      </c>
      <c r="L62" s="271"/>
      <c r="M62" s="271"/>
      <c r="N62" s="272"/>
      <c r="O62" s="272"/>
      <c r="P62" s="271"/>
    </row>
    <row r="63" spans="2:16" ht="13.2">
      <c r="O63" s="275"/>
      <c r="P63" s="276"/>
    </row>
    <row r="64" spans="2:16" s="277" customFormat="1" ht="13.2">
      <c r="B64" s="672" t="s">
        <v>23</v>
      </c>
      <c r="C64" s="672"/>
      <c r="D64" s="672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</row>
    <row r="65" spans="2:16" ht="13.2"/>
    <row r="66" spans="2:16" s="270" customFormat="1" ht="13.2">
      <c r="C66" s="287" t="s">
        <v>14</v>
      </c>
      <c r="D66" s="297"/>
      <c r="E66" s="296">
        <f>E15</f>
        <v>2020</v>
      </c>
      <c r="F66" s="296">
        <f t="shared" ref="F66:M66" si="8">E66+1</f>
        <v>2021</v>
      </c>
      <c r="G66" s="284">
        <f t="shared" si="8"/>
        <v>2022</v>
      </c>
      <c r="H66" s="284">
        <f t="shared" si="8"/>
        <v>2023</v>
      </c>
      <c r="I66" s="284">
        <f t="shared" si="8"/>
        <v>2024</v>
      </c>
      <c r="J66" s="284">
        <f t="shared" si="8"/>
        <v>2025</v>
      </c>
      <c r="K66" s="284">
        <f t="shared" si="8"/>
        <v>2026</v>
      </c>
      <c r="L66" s="284">
        <f t="shared" si="8"/>
        <v>2027</v>
      </c>
      <c r="M66" s="284">
        <f t="shared" si="8"/>
        <v>2028</v>
      </c>
      <c r="N66" s="296">
        <f>M66+1</f>
        <v>2029</v>
      </c>
      <c r="O66" s="296">
        <f t="shared" ref="O66:P66" si="9">N66+1</f>
        <v>2030</v>
      </c>
      <c r="P66" s="296">
        <f t="shared" si="9"/>
        <v>2031</v>
      </c>
    </row>
    <row r="67" spans="2:16" ht="13.2">
      <c r="B67" s="279" t="s">
        <v>7</v>
      </c>
      <c r="C67" s="279"/>
      <c r="D67" s="279"/>
      <c r="N67" s="674"/>
      <c r="O67" s="674"/>
    </row>
    <row r="68" spans="2:16" ht="13.2">
      <c r="B68" s="277"/>
      <c r="C68" s="285" t="s">
        <v>687</v>
      </c>
      <c r="D68" s="292"/>
      <c r="E68" s="297">
        <f>IF(E$66&gt;='Phase I - Summary'!$D$21,'Phase I - CF MF Market Rental'!$G$12/'Phase I - Summary'!$D$22,0)</f>
        <v>0</v>
      </c>
      <c r="F68" s="297">
        <f>IF(F$66&gt;='Phase I - Summary'!$D$21,'Phase I - CF MF Market Rental'!$G$12/'Phase I - Summary'!$D$22,0)</f>
        <v>0</v>
      </c>
      <c r="G68" s="297">
        <f ca="1">IF(G$66&gt;='Phase I - Summary'!$D$21,'Phase I - CF MF Market Rental'!$G$12/'Phase I - Summary'!$D$22,0)</f>
        <v>137</v>
      </c>
      <c r="H68" s="297">
        <f ca="1">IF(H$66&gt;='Phase I - Summary'!$D$21,'Phase I - CF MF Market Rental'!$G$12/'Phase I - Summary'!$D$22,0)</f>
        <v>137</v>
      </c>
      <c r="I68" s="297">
        <f ca="1">IF(I$66&gt;='Phase I - Summary'!$D$21,'Phase I - CF MF Market Rental'!$G$12/'Phase I - Summary'!$D$22,0)</f>
        <v>137</v>
      </c>
      <c r="J68" s="297">
        <f>ROUNDDOWN(IF(J$66&lt;'Phase II - Summary'!$D$23,'Phase II - CF MF Market Rental'!$G$12/'Phase II - Summary'!$D$22,0),0)</f>
        <v>192</v>
      </c>
      <c r="K68" s="297">
        <f>ROUNDDOWN(IF(K$66&lt;'Phase II - Summary'!$D$23,'Phase II - CF MF Market Rental'!$G$12/'Phase II - Summary'!$D$22,0),0)</f>
        <v>192</v>
      </c>
      <c r="L68" s="297">
        <f>ROUNDDOWN(IF(L$66&lt;'Phase II - Summary'!$D$23,'Phase II - CF MF Market Rental'!$G$12/'Phase II - Summary'!$D$22,0),0)</f>
        <v>192</v>
      </c>
      <c r="M68" s="297">
        <f>ROUNDDOWN(IF(M$66&lt;'Phase II - Summary'!$D$23,'Phase II - CF MF Market Rental'!$G$12/'Phase II - Summary'!$D$22,0),0)</f>
        <v>0</v>
      </c>
      <c r="N68" s="297">
        <f>ROUNDDOWN(IF(N$66&lt;'Phase II - Summary'!$D$23,'Phase II - CF MF Market Rental'!$G$12/'Phase II - Summary'!$D$22,0),0)</f>
        <v>0</v>
      </c>
      <c r="O68" s="297">
        <f>ROUNDDOWN(IF(O$66&lt;'Phase II - Summary'!$D$23,'Phase II - CF MF Market Rental'!$G$12/'Phase II - Summary'!$D$22,0),0)</f>
        <v>0</v>
      </c>
      <c r="P68" s="297">
        <f>ROUNDDOWN(IF(P$66&lt;'Phase II - Summary'!$D$23,'Phase II - CF MF Market Rental'!$G$12/'Phase II - Summary'!$D$22,0),0)</f>
        <v>0</v>
      </c>
    </row>
    <row r="69" spans="2:16" ht="13.2">
      <c r="B69" s="277"/>
      <c r="C69" s="285" t="s">
        <v>674</v>
      </c>
      <c r="D69" s="292"/>
      <c r="E69" s="297">
        <f>IF(E$66&gt;='Phase I - Summary'!$D$21,'Phase I - CF Affordable Rental'!$G$12/'Phase I - Summary'!$D$22,0)</f>
        <v>0</v>
      </c>
      <c r="F69" s="297">
        <f>IF(F$66&gt;='Phase I - Summary'!$D$21,'Phase I - CF Affordable Rental'!$G$12/'Phase I - Summary'!$D$22,0)</f>
        <v>0</v>
      </c>
      <c r="G69" s="341">
        <f ca="1">IF(G$66&gt;='Phase I - Summary'!$D$21,'Phase I - CF Affordable Rental'!$G$12/'Phase I - Summary'!$D$22,0)</f>
        <v>41</v>
      </c>
      <c r="H69" s="341">
        <f ca="1">IF(H$66&gt;='Phase I - Summary'!$D$21,'Phase I - CF Affordable Rental'!$G$12/'Phase I - Summary'!$D$22,0)</f>
        <v>41</v>
      </c>
      <c r="I69" s="341">
        <f ca="1">IF(I$66&gt;='Phase I - Summary'!$D$21,'Phase I - CF Affordable Rental'!$G$12/'Phase I - Summary'!$D$22,0)</f>
        <v>41</v>
      </c>
      <c r="J69" s="297">
        <f>ROUNDDOWN(IF(J$66&lt;'Phase II - Summary'!$D$23,'Phase II - CF Affordable Rental'!$G$12/'Phase II - Summary'!$D$22,0),0)</f>
        <v>57</v>
      </c>
      <c r="K69" s="297">
        <f>ROUNDDOWN(IF(K$66&lt;'Phase II - Summary'!$D$23,'Phase II - CF Affordable Rental'!$G$12/'Phase II - Summary'!$D$22,0),0)</f>
        <v>57</v>
      </c>
      <c r="L69" s="297">
        <f>ROUNDDOWN(IF(L$66&lt;'Phase II - Summary'!$D$23,'Phase II - CF Affordable Rental'!$G$12/'Phase II - Summary'!$D$22,0),0)</f>
        <v>57</v>
      </c>
      <c r="M69" s="297">
        <f>ROUNDDOWN(IF(M$66&lt;'Phase II - Summary'!$D$23,'Phase II - CF Affordable Rental'!$G$12/'Phase II - Summary'!$D$22,0),0)</f>
        <v>0</v>
      </c>
      <c r="N69" s="297">
        <f>ROUNDDOWN(IF(N$66&lt;'Phase II - Summary'!$D$23,'Phase II - CF Affordable Rental'!$G$12/'Phase II - Summary'!$D$22,0),0)</f>
        <v>0</v>
      </c>
      <c r="O69" s="297">
        <f>ROUNDDOWN(IF(O$66&lt;'Phase II - Summary'!$D$23,'Phase II - CF Affordable Rental'!$G$12/'Phase II - Summary'!$D$22,0),0)</f>
        <v>0</v>
      </c>
      <c r="P69" s="297">
        <f>ROUNDDOWN(IF(P$66&lt;'Phase II - Summary'!$D$23,'Phase II - CF Affordable Rental'!$G$12/'Phase II - Summary'!$D$22,0),0)</f>
        <v>0</v>
      </c>
    </row>
    <row r="70" spans="2:16" ht="13.2">
      <c r="B70" s="658" t="s">
        <v>688</v>
      </c>
      <c r="C70" s="658"/>
      <c r="D70" s="292"/>
      <c r="E70" s="297">
        <f>IF(E$66&gt;='Phase I - Summary'!$D$21,'Phase I - CF Hotel'!$G$9/'Phase I - Summary'!$D$22,0)</f>
        <v>0</v>
      </c>
      <c r="F70" s="297">
        <f>IF(F$66&gt;='Phase I - Summary'!$D$21,'Phase I - CF Hotel'!$G$9/'Phase I - Summary'!$D$22,0)</f>
        <v>0</v>
      </c>
      <c r="G70" s="297">
        <f>IF(G$66&gt;='Phase I - Summary'!$D$21,'Phase I - CF Hotel'!$G$9/'Phase I - Summary'!$D$22,0)</f>
        <v>0</v>
      </c>
      <c r="H70" s="297">
        <f>IF(H$66&gt;='Phase I - Summary'!$D$21,'Phase I - CF Hotel'!$G$9/'Phase I - Summary'!$D$22,0)</f>
        <v>0</v>
      </c>
      <c r="I70" s="297">
        <f>IF(I$66&gt;='Phase I - Summary'!$D$21,'Phase I - CF Hotel'!$G$9/'Phase I - Summary'!$D$22,0)</f>
        <v>0</v>
      </c>
      <c r="J70" s="297">
        <f>ROUNDDOWN(IF(J$66&lt;'Phase II - Summary'!$D$23,'Phase II - CF Hotel'!$G$15/'Phase II - Summary'!$D$22,0),0)</f>
        <v>105</v>
      </c>
      <c r="K70" s="297">
        <f>ROUNDDOWN(IF(K$66&lt;'Phase II - Summary'!$D$23,'Phase II - CF Hotel'!$G$15/'Phase II - Summary'!$D$22,0),0)</f>
        <v>105</v>
      </c>
      <c r="L70" s="297">
        <f>ROUNDDOWN(IF(L$66&lt;'Phase II - Summary'!$D$23,'Phase II - CF Hotel'!$G$15/'Phase II - Summary'!$D$22,0),0)</f>
        <v>105</v>
      </c>
      <c r="M70" s="297">
        <f>ROUNDDOWN(IF(M$66&lt;'Phase II - Summary'!$D$23,'Phase II - CF Hotel'!$G$15/'Phase II - Summary'!$D$22,0),0)</f>
        <v>0</v>
      </c>
      <c r="N70" s="297">
        <f>ROUNDDOWN(IF(N$66&lt;'Phase II - Summary'!$D$23,'Phase II - CF Hotel'!$G$15/'Phase II - Summary'!$D$22,0),0)</f>
        <v>0</v>
      </c>
      <c r="O70" s="297">
        <f>ROUNDDOWN(IF(O$66&lt;'Phase II - Summary'!$D$23,'Phase II - CF Hotel'!$G$15/'Phase II - Summary'!$D$22,0),0)</f>
        <v>0</v>
      </c>
      <c r="P70" s="297">
        <f>ROUNDDOWN(IF(P$66&lt;'Phase II - Summary'!$D$23,'Phase II - CF Hotel'!$G$15/'Phase II - Summary'!$D$22,0),0)</f>
        <v>0</v>
      </c>
    </row>
    <row r="71" spans="2:16" ht="13.2">
      <c r="B71" s="658" t="s">
        <v>690</v>
      </c>
      <c r="C71" s="658"/>
      <c r="D71" s="292"/>
      <c r="E71" s="297">
        <f>IF(E$66&gt;='Phase I - Summary'!$D$21,'Phase I - CF Retail'!$G$14/'Phase I - Summary'!$D$22,0)</f>
        <v>0</v>
      </c>
      <c r="F71" s="297">
        <f>IF(F$66&gt;='Phase I - Summary'!$D$21,'Phase I - CF Retail'!$G$14/'Phase I - Summary'!$D$22,0)</f>
        <v>0</v>
      </c>
      <c r="G71" s="341">
        <f>IF(G$66&gt;='Phase I - Summary'!$D$21,'Phase I - CF Retail'!$G$14/'Phase I - Summary'!$D$22,0)</f>
        <v>12.575200000000001</v>
      </c>
      <c r="H71" s="341">
        <f>IF(H$66&gt;='Phase I - Summary'!$D$21,'Phase I - CF Retail'!$G$14/'Phase I - Summary'!$D$22,0)</f>
        <v>12.575200000000001</v>
      </c>
      <c r="I71" s="341">
        <f>IF(I$66&gt;='Phase I - Summary'!$D$21,'Phase I - CF Retail'!$G$14/'Phase I - Summary'!$D$22,0)</f>
        <v>12.575200000000001</v>
      </c>
      <c r="J71" s="297">
        <f>ROUNDDOWN(IF(J$66&lt;'Phase II - Summary'!$D$23,'Phase II - CF Retail'!$G$14/'Phase II - Summary'!$D$22,0),0)</f>
        <v>27</v>
      </c>
      <c r="K71" s="297">
        <f>ROUNDDOWN(IF(K$66&lt;'Phase II - Summary'!$D$23,'Phase II - CF Retail'!$G$14/'Phase II - Summary'!$D$22,0),0)</f>
        <v>27</v>
      </c>
      <c r="L71" s="297">
        <f>ROUNDDOWN(IF(L$66&lt;'Phase II - Summary'!$D$23,'Phase II - CF Retail'!$G$14/'Phase II - Summary'!$D$22,0),0)</f>
        <v>27</v>
      </c>
      <c r="M71" s="297">
        <f>ROUNDDOWN(IF(M$66&lt;'Phase II - Summary'!$D$23,'Phase II - CF Retail'!$G$14/'Phase II - Summary'!$D$22,0),0)</f>
        <v>0</v>
      </c>
      <c r="N71" s="297">
        <f>ROUNDDOWN(IF(N$66&lt;'Phase II - Summary'!$D$23,'Phase II - CF Retail'!$G$14/'Phase II - Summary'!$D$22,0),0)</f>
        <v>0</v>
      </c>
      <c r="O71" s="297">
        <f>ROUNDDOWN(IF(O$66&lt;'Phase II - Summary'!$D$23,'Phase II - CF Retail'!$G$14/'Phase II - Summary'!$D$22,0),0)</f>
        <v>0</v>
      </c>
      <c r="P71" s="297">
        <f>ROUNDDOWN(IF(P$66&lt;'Phase II - Summary'!$D$23,'Phase II - CF Retail'!$G$14/'Phase II - Summary'!$D$22,0),0)</f>
        <v>0</v>
      </c>
    </row>
    <row r="72" spans="2:16" ht="13.2">
      <c r="B72" s="658" t="s">
        <v>689</v>
      </c>
      <c r="C72" s="658"/>
      <c r="D72" s="292"/>
      <c r="E72" s="297">
        <f>IF(E$66&gt;='Phase I - Summary'!$D$21,SUM('Phase I - CF MF Market Rental'!$G$20,'Phase I - CF Affordable Rental'!$G$20)/'Phase I - Summary'!$D$22,0)</f>
        <v>0</v>
      </c>
      <c r="F72" s="297">
        <f>IF(F$66&gt;='Phase I - Summary'!$D$21,SUM('Phase I - CF MF Market Rental'!$G$20,'Phase I - CF Affordable Rental'!$G$20)/'Phase I - Summary'!$D$22,0)</f>
        <v>0</v>
      </c>
      <c r="G72" s="341">
        <f ca="1">IF(G$66&gt;='Phase I - Summary'!$D$21,SUM('Phase I - CF MF Market Rental'!$G$20,'Phase I - CF Affordable Rental'!$G$20)/'Phase I - Summary'!$D$22,0)</f>
        <v>118.66666666666667</v>
      </c>
      <c r="H72" s="341">
        <f ca="1">IF(H$66&gt;='Phase I - Summary'!$D$21,SUM('Phase I - CF MF Market Rental'!$G$20,'Phase I - CF Affordable Rental'!$G$20)/'Phase I - Summary'!$D$22,0)</f>
        <v>118.66666666666667</v>
      </c>
      <c r="I72" s="341">
        <f ca="1">IF(I$66&gt;='Phase I - Summary'!$D$21,SUM('Phase I - CF MF Market Rental'!$G$20,'Phase I - CF Affordable Rental'!$G$20)/'Phase I - Summary'!$D$22,0)</f>
        <v>118.66666666666667</v>
      </c>
      <c r="J72" s="297">
        <f>ROUNDDOWN(IF(J$66&lt;'Phase II - Summary'!$D$23,SUM('Phase II - CF MF Market Rental'!$G$20,'Phase II - CF Affordable Rental'!$G$20)/'Phase II - Summary'!$D$22,0),0)</f>
        <v>166</v>
      </c>
      <c r="K72" s="297">
        <f>ROUNDDOWN(IF(K$66&lt;'Phase II - Summary'!$D$23,SUM('Phase II - CF MF Market Rental'!$G$20,'Phase II - CF Affordable Rental'!$G$20)/'Phase II - Summary'!$D$22,0),0)</f>
        <v>166</v>
      </c>
      <c r="L72" s="297">
        <f>ROUNDDOWN(IF(L$66&lt;'Phase II - Summary'!$D$23,SUM('Phase II - CF MF Market Rental'!$G$20,'Phase II - CF Affordable Rental'!$G$20)/'Phase II - Summary'!$D$22,0),0)</f>
        <v>166</v>
      </c>
      <c r="M72" s="297">
        <f>ROUNDDOWN(IF(M$66&lt;'Phase II - Summary'!$D$23,SUM('Phase II - CF MF Market Rental'!$G$20,'Phase II - CF Affordable Rental'!$G$20)/'Phase II - Summary'!$D$22,0),0)</f>
        <v>0</v>
      </c>
      <c r="N72" s="297">
        <f>ROUNDDOWN(IF(N$66&lt;'Phase II - Summary'!$D$23,SUM('Phase II - CF MF Market Rental'!$G$20,'Phase II - CF Affordable Rental'!$G$20)/'Phase II - Summary'!$D$22,0),0)</f>
        <v>0</v>
      </c>
      <c r="O72" s="297">
        <f>ROUNDDOWN(IF(O$66&lt;'Phase II - Summary'!$D$23,SUM('Phase II - CF MF Market Rental'!$G$20,'Phase II - CF Affordable Rental'!$G$20)/'Phase II - Summary'!$D$22,0),0)</f>
        <v>0</v>
      </c>
      <c r="P72" s="297">
        <f>ROUNDDOWN(IF(P$66&lt;'Phase II - Summary'!$D$23,SUM('Phase II - CF MF Market Rental'!$G$20,'Phase II - CF Affordable Rental'!$G$20)/'Phase II - Summary'!$D$22,0),0)</f>
        <v>0</v>
      </c>
    </row>
    <row r="73" spans="2:16" ht="13.2"/>
    <row r="74" spans="2:16" ht="13.2">
      <c r="B74" s="279" t="s">
        <v>691</v>
      </c>
      <c r="C74" s="279"/>
      <c r="D74" s="279"/>
      <c r="F74" s="271"/>
      <c r="G74" s="271"/>
      <c r="H74" s="271"/>
      <c r="I74" s="271"/>
      <c r="K74" s="271"/>
      <c r="L74" s="271"/>
      <c r="M74" s="271"/>
      <c r="N74" s="293"/>
      <c r="O74" s="293"/>
      <c r="P74" s="271"/>
    </row>
    <row r="75" spans="2:16" ht="13.2">
      <c r="B75" s="277"/>
      <c r="C75" s="285" t="s">
        <v>687</v>
      </c>
      <c r="D75" s="270" t="s">
        <v>15</v>
      </c>
      <c r="E75" s="344">
        <f>IF(E$66&gt;='Phase I - Summary'!$D$21,'Phase I - CF MF Market Rental'!$G$15/'Phase I - Summary'!$D$22,0)</f>
        <v>0</v>
      </c>
      <c r="F75" s="344">
        <f>IF(F$66&gt;='Phase I - Summary'!$D$21,'Phase I - CF MF Market Rental'!$G$15/'Phase I - Summary'!$D$22,0)</f>
        <v>0</v>
      </c>
      <c r="G75" s="344">
        <f ca="1">IF(G$66&gt;='Phase I - Summary'!$D$21,'Phase I - CF MF Market Rental'!$G$15/'Phase I - Summary'!$D$22,0)</f>
        <v>137132.26891538463</v>
      </c>
      <c r="H75" s="344">
        <f ca="1">IF(H$66&gt;='Phase I - Summary'!$D$21,'Phase I - CF MF Market Rental'!$G$15/'Phase I - Summary'!$D$22,0)</f>
        <v>137132.26891538463</v>
      </c>
      <c r="I75" s="344">
        <f ca="1">IF(I$66&gt;='Phase I - Summary'!$D$21,'Phase I - CF MF Market Rental'!$G$15/'Phase I - Summary'!$D$22,0)</f>
        <v>137132.26891538463</v>
      </c>
      <c r="J75" s="344">
        <f>ROUNDDOWN(IF(J$66&lt;'Phase II - Summary'!$D$23,'Phase II - CF MF Market Rental'!$G$15/'Phase II - Summary'!$D$22,0),0)</f>
        <v>192360</v>
      </c>
      <c r="K75" s="344">
        <f>ROUNDDOWN(IF(K$66&lt;'Phase II - Summary'!$D$23,'Phase II - CF MF Market Rental'!$G$15/'Phase II - Summary'!$D$22,0),0)</f>
        <v>192360</v>
      </c>
      <c r="L75" s="344">
        <f>ROUNDDOWN(IF(L$66&lt;'Phase II - Summary'!$D$23,'Phase II - CF MF Market Rental'!$G$15/'Phase II - Summary'!$D$22,0),0)</f>
        <v>192360</v>
      </c>
      <c r="M75" s="344">
        <f>ROUNDDOWN(IF(M$66&lt;'Phase II - Summary'!$D$23,'Phase II - CF MF Market Rental'!$G$15/'Phase II - Summary'!$D$22,0),0)</f>
        <v>0</v>
      </c>
      <c r="N75" s="344">
        <f>ROUNDDOWN(IF(N$66&lt;'Phase II - Summary'!$D$23,'Phase II - CF MF Market Rental'!$G$15/'Phase II - Summary'!$D$22,0),0)</f>
        <v>0</v>
      </c>
      <c r="O75" s="344">
        <f>ROUNDDOWN(IF(O$66&lt;'Phase II - Summary'!$D$23,'Phase II - CF MF Market Rental'!$G$15/'Phase II - Summary'!$D$22,0),0)</f>
        <v>0</v>
      </c>
      <c r="P75" s="344">
        <f>ROUNDDOWN(IF(P$66&lt;'Phase II - Summary'!$D$23,'Phase II - CF MF Market Rental'!$G$15/'Phase II - Summary'!$D$22,0),0)</f>
        <v>0</v>
      </c>
    </row>
    <row r="76" spans="2:16" ht="13.2">
      <c r="B76" s="277"/>
      <c r="C76" s="340" t="s">
        <v>674</v>
      </c>
      <c r="D76" s="270" t="s">
        <v>15</v>
      </c>
      <c r="E76" s="344">
        <f>IF(E$66&gt;='Phase I - Summary'!$D$21,'Phase I - CF Affordable Rental'!$G$15/'Phase I - Summary'!$D$22,0)</f>
        <v>0</v>
      </c>
      <c r="F76" s="344">
        <f>IF(F$66&gt;='Phase I - Summary'!$D$21,'Phase I - CF Affordable Rental'!$G$15/'Phase I - Summary'!$D$22,0)</f>
        <v>0</v>
      </c>
      <c r="G76" s="344">
        <f ca="1">IF(G$66&gt;='Phase I - Summary'!$D$21,'Phase I - CF Affordable Rental'!$G$15/'Phase I - Summary'!$D$22,0)</f>
        <v>41139.680674615382</v>
      </c>
      <c r="H76" s="344">
        <f ca="1">IF(H$66&gt;='Phase I - Summary'!$D$21,'Phase I - CF Affordable Rental'!$G$15/'Phase I - Summary'!$D$22,0)</f>
        <v>41139.680674615382</v>
      </c>
      <c r="I76" s="344">
        <f ca="1">IF(I$66&gt;='Phase I - Summary'!$D$21,'Phase I - CF Affordable Rental'!$G$15/'Phase I - Summary'!$D$22,0)</f>
        <v>41139.680674615382</v>
      </c>
      <c r="J76" s="344">
        <f>ROUNDDOWN(IF(J$66&lt;'Phase II - Summary'!$D$23,'Phase II - CF Affordable Rental'!$G$15/'Phase II - Summary'!$D$22,0),0)</f>
        <v>57708</v>
      </c>
      <c r="K76" s="344">
        <f>ROUNDDOWN(IF(K$66&lt;'Phase II - Summary'!$D$23,'Phase II - CF Affordable Rental'!$G$15/'Phase II - Summary'!$D$22,0),0)</f>
        <v>57708</v>
      </c>
      <c r="L76" s="344">
        <f>ROUNDDOWN(IF(L$66&lt;'Phase II - Summary'!$D$23,'Phase II - CF Affordable Rental'!$G$15/'Phase II - Summary'!$D$22,0),0)</f>
        <v>57708</v>
      </c>
      <c r="M76" s="344">
        <f>ROUNDDOWN(IF(M$66&lt;'Phase II - Summary'!$D$23,'Phase II - CF Affordable Rental'!$G$15/'Phase II - Summary'!$D$22,0),0)</f>
        <v>0</v>
      </c>
      <c r="N76" s="344">
        <f>ROUNDDOWN(IF(N$66&lt;'Phase II - Summary'!$D$23,'Phase II - CF Affordable Rental'!$G$15/'Phase II - Summary'!$D$22,0),0)</f>
        <v>0</v>
      </c>
      <c r="O76" s="344">
        <f>ROUNDDOWN(IF(O$66&lt;'Phase II - Summary'!$D$23,'Phase II - CF Affordable Rental'!$G$15/'Phase II - Summary'!$D$22,0),0)</f>
        <v>0</v>
      </c>
      <c r="P76" s="344">
        <f>ROUNDDOWN(IF(P$66&lt;'Phase II - Summary'!$D$23,'Phase II - CF Affordable Rental'!$G$15/'Phase II - Summary'!$D$22,0),0)</f>
        <v>0</v>
      </c>
    </row>
    <row r="77" spans="2:16" ht="13.2">
      <c r="B77" s="658" t="s">
        <v>24</v>
      </c>
      <c r="C77" s="658"/>
      <c r="D77" s="270" t="s">
        <v>15</v>
      </c>
      <c r="E77" s="344">
        <f>IF(E$66&gt;='Phase I - Summary'!$D$21,'Phase I - CF Commercial'!$G$12/'Phase I - Summary'!$D$22,0)</f>
        <v>0</v>
      </c>
      <c r="F77" s="344">
        <f>IF(F$66&gt;='Phase I - Summary'!$D$21,'Phase I - CF Commercial'!$G$12/'Phase I - Summary'!$D$22,0)</f>
        <v>0</v>
      </c>
      <c r="G77" s="344">
        <f>IF(G$66&gt;='Phase I - Summary'!$D$21,'Phase I - CF Commercial'!$G$12/'Phase I - Summary'!$D$22,0)</f>
        <v>132736.81460000001</v>
      </c>
      <c r="H77" s="344">
        <f>IF(H$66&gt;='Phase I - Summary'!$D$21,'Phase I - CF Commercial'!$G$12/'Phase I - Summary'!$D$22,0)</f>
        <v>132736.81460000001</v>
      </c>
      <c r="I77" s="344">
        <f>IF(I$66&gt;='Phase I - Summary'!$D$21,'Phase I - CF Commercial'!$G$12/'Phase I - Summary'!$D$22,0)</f>
        <v>132736.81460000001</v>
      </c>
      <c r="J77" s="344">
        <f ca="1">ROUNDDOWN(IF(J$66&lt;'Phase II - Summary'!$D$23,'Phase II - CF Commercial'!$G$12/'Phase II - Summary'!$D$22,0),0)</f>
        <v>208355</v>
      </c>
      <c r="K77" s="344">
        <f ca="1">ROUNDDOWN(IF(K$66&lt;'Phase II - Summary'!$D$23,'Phase II - CF Commercial'!$G$12/'Phase II - Summary'!$D$22,0),0)</f>
        <v>208355</v>
      </c>
      <c r="L77" s="344">
        <f ca="1">ROUNDDOWN(IF(L$66&lt;'Phase II - Summary'!$D$23,'Phase II - CF Commercial'!$G$12/'Phase II - Summary'!$D$22,0),0)</f>
        <v>208355</v>
      </c>
      <c r="M77" s="344">
        <f>ROUNDDOWN(IF(M$66&lt;'Phase II - Summary'!$D$23,'Phase II - CF Commercial'!$G$12/'Phase II - Summary'!$D$22,0),0)</f>
        <v>0</v>
      </c>
      <c r="N77" s="344">
        <f>ROUNDDOWN(IF(N$66&lt;'Phase II - Summary'!$D$23,'Phase II - CF Commercial'!$G$12/'Phase II - Summary'!$D$22,0),0)</f>
        <v>0</v>
      </c>
      <c r="O77" s="344">
        <f>ROUNDDOWN(IF(O$66&lt;'Phase II - Summary'!$D$23,'Phase II - CF Commercial'!$G$12/'Phase II - Summary'!$D$22,0),0)</f>
        <v>0</v>
      </c>
      <c r="P77" s="344">
        <f>ROUNDDOWN(IF(P$66&lt;'Phase II - Summary'!$D$23,'Phase II - CF Commercial'!$G$12/'Phase II - Summary'!$D$22,0),0)</f>
        <v>0</v>
      </c>
    </row>
    <row r="78" spans="2:16" ht="13.2">
      <c r="B78" s="658" t="s">
        <v>26</v>
      </c>
      <c r="C78" s="658"/>
      <c r="D78" s="270" t="s">
        <v>15</v>
      </c>
      <c r="E78" s="344">
        <f>IF(E$66&gt;='Phase I - Summary'!$D$21,'Phase I - CF Hotel'!$G$6/'Phase I - Summary'!$D$22,0)</f>
        <v>0</v>
      </c>
      <c r="F78" s="344">
        <f>IF(F$66&gt;='Phase I - Summary'!$D$21,'Phase I - CF Hotel'!$G$6/'Phase I - Summary'!$D$22,0)</f>
        <v>0</v>
      </c>
      <c r="G78" s="344">
        <f>IF(G$66&gt;='Phase I - Summary'!$D$21,'Phase I - CF Hotel'!$G$6/'Phase I - Summary'!$D$22,0)</f>
        <v>0</v>
      </c>
      <c r="H78" s="344">
        <f>IF(H$66&gt;='Phase I - Summary'!$D$21,'Phase I - CF Hotel'!$G$6/'Phase I - Summary'!$D$22,0)</f>
        <v>0</v>
      </c>
      <c r="I78" s="344">
        <f>IF(I$66&gt;='Phase I - Summary'!$D$21,'Phase I - CF Hotel'!$G$6/'Phase I - Summary'!$D$22,0)</f>
        <v>0</v>
      </c>
      <c r="J78" s="344">
        <f>ROUNDDOWN(IF(J$66&lt;'Phase II - Summary'!$D$23,'Phase II - CF Hotel'!$G$12/'Phase II - Summary'!$D$22,0),0)</f>
        <v>52902</v>
      </c>
      <c r="K78" s="344">
        <f>ROUNDDOWN(IF(K$66&lt;'Phase II - Summary'!$D$23,'Phase II - CF Hotel'!$G$12/'Phase II - Summary'!$D$22,0),0)</f>
        <v>52902</v>
      </c>
      <c r="L78" s="344">
        <f>ROUNDDOWN(IF(L$66&lt;'Phase II - Summary'!$D$23,'Phase II - CF Hotel'!$G$12/'Phase II - Summary'!$D$22,0),0)</f>
        <v>52902</v>
      </c>
      <c r="M78" s="344">
        <f>ROUNDDOWN(IF(M$66&lt;'Phase II - Summary'!$D$23,'Phase II - CF Hotel'!$G$12/'Phase II - Summary'!$D$22,0),0)</f>
        <v>0</v>
      </c>
      <c r="N78" s="344">
        <f>ROUNDDOWN(IF(N$66&lt;'Phase II - Summary'!$D$23,'Phase II - CF Hotel'!$G$12/'Phase II - Summary'!$D$22,0),0)</f>
        <v>0</v>
      </c>
      <c r="O78" s="344">
        <f>ROUNDDOWN(IF(O$66&lt;'Phase II - Summary'!$D$23,'Phase II - CF Hotel'!$G$12/'Phase II - Summary'!$D$22,0),0)</f>
        <v>0</v>
      </c>
      <c r="P78" s="344">
        <f>ROUNDDOWN(IF(P$66&lt;'Phase II - Summary'!$D$23,'Phase II - CF Hotel'!$G$12/'Phase II - Summary'!$D$22,0),0)</f>
        <v>0</v>
      </c>
    </row>
    <row r="79" spans="2:16" ht="13.2">
      <c r="B79" s="658" t="s">
        <v>25</v>
      </c>
      <c r="C79" s="658"/>
      <c r="D79" s="270" t="s">
        <v>15</v>
      </c>
      <c r="E79" s="344">
        <f>IF(E$66&gt;='Phase I - Summary'!$D$21,'Phase I - CF Retail'!$G$12/'Phase I - Summary'!$D$22,0)</f>
        <v>0</v>
      </c>
      <c r="F79" s="344">
        <f>IF(F$66&gt;='Phase I - Summary'!$D$21,'Phase I - CF Retail'!$G$12/'Phase I - Summary'!$D$22,0)</f>
        <v>0</v>
      </c>
      <c r="G79" s="344">
        <f>IF(G$66&gt;='Phase I - Summary'!$D$21,'Phase I - CF Retail'!$G$12/'Phase I - Summary'!$D$22,0)</f>
        <v>31438</v>
      </c>
      <c r="H79" s="344">
        <f>IF(H$66&gt;='Phase I - Summary'!$D$21,'Phase I - CF Retail'!$G$12/'Phase I - Summary'!$D$22,0)</f>
        <v>31438</v>
      </c>
      <c r="I79" s="344">
        <f>IF(I$66&gt;='Phase I - Summary'!$D$21,'Phase I - CF Retail'!$G$12/'Phase I - Summary'!$D$22,0)</f>
        <v>31438</v>
      </c>
      <c r="J79" s="344">
        <f>ROUNDDOWN(IF(J$66&lt;'Phase II - Summary'!$D$23,'Phase II - CF Retail'!$G$12/'Phase II - Summary'!$D$22,0),0)</f>
        <v>69699</v>
      </c>
      <c r="K79" s="344">
        <f>ROUNDDOWN(IF(K$66&lt;'Phase II - Summary'!$D$23,'Phase II - CF Retail'!$G$12/'Phase II - Summary'!$D$22,0),0)</f>
        <v>69699</v>
      </c>
      <c r="L79" s="344">
        <f>ROUNDDOWN(IF(L$66&lt;'Phase II - Summary'!$D$23,'Phase II - CF Retail'!$G$12/'Phase II - Summary'!$D$22,0),0)</f>
        <v>69699</v>
      </c>
      <c r="M79" s="344">
        <f>ROUNDDOWN(IF(M$66&lt;'Phase II - Summary'!$D$23,'Phase II - CF Retail'!$G$12/'Phase II - Summary'!$D$22,0),0)</f>
        <v>0</v>
      </c>
      <c r="N79" s="344">
        <f>ROUNDDOWN(IF(N$66&lt;'Phase II - Summary'!$D$23,'Phase II - CF Retail'!$G$12/'Phase II - Summary'!$D$22,0),0)</f>
        <v>0</v>
      </c>
      <c r="O79" s="344">
        <f>ROUNDDOWN(IF(O$66&lt;'Phase II - Summary'!$D$23,'Phase II - CF Retail'!$G$12/'Phase II - Summary'!$D$22,0),0)</f>
        <v>0</v>
      </c>
      <c r="P79" s="344">
        <f>ROUNDDOWN(IF(P$66&lt;'Phase II - Summary'!$D$23,'Phase II - CF Retail'!$G$12/'Phase II - Summary'!$D$22,0),0)</f>
        <v>0</v>
      </c>
    </row>
    <row r="80" spans="2:16" s="271" customFormat="1" ht="13.2">
      <c r="B80" s="664" t="s">
        <v>27</v>
      </c>
      <c r="C80" s="664"/>
      <c r="D80" s="405" t="s">
        <v>15</v>
      </c>
      <c r="E80" s="344">
        <v>0</v>
      </c>
      <c r="F80" s="429">
        <v>0</v>
      </c>
      <c r="G80" s="430">
        <f ca="1">'Infrastructure Budget'!$D$33/'Phase I - Summary'!$D$22</f>
        <v>91.333333333333329</v>
      </c>
      <c r="H80" s="431">
        <f ca="1">'Infrastructure Budget'!$D$33/'Phase I - Summary'!$D$22</f>
        <v>91.333333333333329</v>
      </c>
      <c r="I80" s="431">
        <f ca="1">'Infrastructure Budget'!$D$33/'Phase I - Summary'!$D$22</f>
        <v>91.333333333333329</v>
      </c>
      <c r="J80" s="431">
        <f>'Infrastructure Budget'!$E$33/'Phase II - Summary'!$D$22</f>
        <v>128.24005036555556</v>
      </c>
      <c r="K80" s="431">
        <f>'Infrastructure Budget'!$E$33/'Phase II - Summary'!$D$22</f>
        <v>128.24005036555556</v>
      </c>
      <c r="L80" s="431">
        <f>'Infrastructure Budget'!$E$33/'Phase II - Summary'!$D$22</f>
        <v>128.24005036555556</v>
      </c>
      <c r="M80" s="430">
        <v>0</v>
      </c>
      <c r="N80" s="430">
        <v>0</v>
      </c>
      <c r="O80" s="430">
        <v>0</v>
      </c>
      <c r="P80" s="430">
        <v>0</v>
      </c>
    </row>
    <row r="81" spans="2:16" ht="13.2">
      <c r="B81" s="661" t="s">
        <v>16</v>
      </c>
      <c r="C81" s="661"/>
      <c r="D81" s="439" t="s">
        <v>15</v>
      </c>
      <c r="E81" s="440">
        <f t="shared" ref="E81:P81" si="10">SUM(E75:E80)</f>
        <v>0</v>
      </c>
      <c r="F81" s="440">
        <f t="shared" si="10"/>
        <v>0</v>
      </c>
      <c r="G81" s="440">
        <f t="shared" ca="1" si="10"/>
        <v>342538.09752333333</v>
      </c>
      <c r="H81" s="440">
        <f t="shared" ca="1" si="10"/>
        <v>342538.09752333333</v>
      </c>
      <c r="I81" s="440">
        <f t="shared" ca="1" si="10"/>
        <v>342538.09752333333</v>
      </c>
      <c r="J81" s="440">
        <f t="shared" ca="1" si="10"/>
        <v>581152.24005036557</v>
      </c>
      <c r="K81" s="440">
        <f t="shared" ca="1" si="10"/>
        <v>581152.24005036557</v>
      </c>
      <c r="L81" s="440">
        <f t="shared" ca="1" si="10"/>
        <v>581152.24005036557</v>
      </c>
      <c r="M81" s="440">
        <f t="shared" si="10"/>
        <v>0</v>
      </c>
      <c r="N81" s="440">
        <f t="shared" si="10"/>
        <v>0</v>
      </c>
      <c r="O81" s="440">
        <f t="shared" si="10"/>
        <v>0</v>
      </c>
      <c r="P81" s="440">
        <f t="shared" si="10"/>
        <v>0</v>
      </c>
    </row>
    <row r="82" spans="2:16" ht="13.2"/>
    <row r="83" spans="2:16" s="277" customFormat="1" ht="13.2">
      <c r="B83" s="662" t="s">
        <v>30</v>
      </c>
      <c r="C83" s="662"/>
      <c r="D83" s="662"/>
      <c r="E83" s="663"/>
      <c r="F83" s="663"/>
      <c r="G83" s="663"/>
      <c r="H83" s="663"/>
      <c r="J83" s="672" t="s">
        <v>31</v>
      </c>
      <c r="K83" s="663"/>
      <c r="L83" s="663"/>
      <c r="M83" s="663"/>
      <c r="N83" s="663"/>
      <c r="O83" s="663"/>
      <c r="P83" s="663"/>
    </row>
    <row r="84" spans="2:16" s="307" customFormat="1" ht="13.2">
      <c r="B84" s="306"/>
      <c r="C84" s="306"/>
      <c r="D84" s="306"/>
      <c r="E84" s="304"/>
      <c r="F84" s="304"/>
      <c r="G84" s="304"/>
      <c r="H84" s="304"/>
      <c r="J84" s="303"/>
      <c r="K84" s="304"/>
      <c r="L84" s="304"/>
      <c r="M84" s="304"/>
      <c r="N84" s="304"/>
      <c r="O84" s="304"/>
      <c r="P84" s="304"/>
    </row>
    <row r="85" spans="2:16" s="289" customFormat="1" ht="13.8" thickBot="1">
      <c r="B85" s="660" t="s">
        <v>2</v>
      </c>
      <c r="C85" s="660"/>
      <c r="D85" s="353"/>
      <c r="E85" s="354"/>
      <c r="F85" s="355" t="s">
        <v>695</v>
      </c>
      <c r="G85" s="355" t="s">
        <v>694</v>
      </c>
      <c r="H85" s="355" t="s">
        <v>696</v>
      </c>
      <c r="J85" s="696" t="s">
        <v>33</v>
      </c>
      <c r="K85" s="682"/>
      <c r="L85" s="682"/>
      <c r="M85" s="683" t="s">
        <v>32</v>
      </c>
      <c r="N85" s="683"/>
      <c r="O85" s="683" t="s">
        <v>19</v>
      </c>
      <c r="P85" s="683"/>
    </row>
    <row r="86" spans="2:16" ht="13.8" thickTop="1">
      <c r="B86" s="277"/>
      <c r="C86" s="285" t="s">
        <v>687</v>
      </c>
      <c r="D86" s="292"/>
      <c r="E86" s="343"/>
      <c r="F86" s="349">
        <f ca="1">('Area Matrix'!$D34/'Phase I - CF MF Market Rental'!$G$12+'Area Matrix'!$D57/'Phase II - CF MF Market Rental'!$G$12)/2</f>
        <v>184264.49841942728</v>
      </c>
      <c r="G86" s="349">
        <f ca="1">(SUM('Area Matrix'!$D34,'Area Matrix'!$H34,'Area Matrix'!$L34,'Area Matrix'!$P34,'Area Matrix'!$T34)/'Phase I - CF MF Market Rental'!$G$12+SUM('Area Matrix'!$D57,'Area Matrix'!$H57,'Area Matrix'!$L57,'Area Matrix'!$P57,'Area Matrix'!$T57)/'Phase II - CF MF Market Rental'!$G$12)/2</f>
        <v>315923.65320033027</v>
      </c>
      <c r="H86" s="352">
        <f ca="1">(SUM('Area Matrix'!$D34,'Area Matrix'!$H34,'Area Matrix'!$P34,'Area Matrix'!$T34)+SUM('Area Matrix'!$D57,'Area Matrix'!$H57,'Area Matrix'!$P57,'Area Matrix'!$T57))</f>
        <v>259326174.7888428</v>
      </c>
      <c r="J86" s="278" t="s">
        <v>698</v>
      </c>
      <c r="M86" s="679">
        <f ca="1">SUM('Phase I - Summary'!G23,'Phase II - Summary'!G23)</f>
        <v>191240144.66578329</v>
      </c>
      <c r="N86" s="693"/>
      <c r="O86" s="659">
        <f ca="1">M86/$M$97</f>
        <v>0.23159543093432686</v>
      </c>
      <c r="P86" s="659"/>
    </row>
    <row r="87" spans="2:16" ht="13.2">
      <c r="B87" s="277"/>
      <c r="C87" s="285" t="s">
        <v>674</v>
      </c>
      <c r="D87" s="292"/>
      <c r="E87" s="343"/>
      <c r="F87" s="349">
        <f ca="1">('Area Matrix'!$D35/'Phase I - CF Affordable Rental'!$G$12+'Area Matrix'!$D58/'Phase II - CF Affordable Rental'!$G$12)/2</f>
        <v>184553.79026799227</v>
      </c>
      <c r="G87" s="349">
        <f ca="1">(SUM('Area Matrix'!$D35,'Area Matrix'!H35,'Area Matrix'!L35,'Area Matrix'!P35,'Area Matrix'!T35)/'Phase I - CF Affordable Rental'!$G$12+SUM('Area Matrix'!$D58,'Area Matrix'!H58,'Area Matrix'!L58,'Area Matrix'!P58,'Area Matrix'!T58)/'Phase II - CF Affordable Rental'!$G$12)/2</f>
        <v>316401.00534028199</v>
      </c>
      <c r="H87" s="352">
        <f ca="1">(SUM('Area Matrix'!$D35,'Area Matrix'!$H35,'Area Matrix'!$P35,'Area Matrix'!$T35)+SUM('Area Matrix'!$D58,'Area Matrix'!$H58,'Area Matrix'!$P58,'Area Matrix'!$T58))</f>
        <v>77797852.436652824</v>
      </c>
      <c r="J87" s="694" t="s">
        <v>699</v>
      </c>
      <c r="K87" s="695"/>
      <c r="L87" s="695"/>
      <c r="M87" s="679">
        <f ca="1">'Phase I - Summary'!G24</f>
        <v>24764310.871740002</v>
      </c>
      <c r="N87" s="693"/>
      <c r="O87" s="659">
        <f ca="1">M87/$M$97</f>
        <v>2.9990048680183949E-2</v>
      </c>
      <c r="P87" s="659"/>
    </row>
    <row r="88" spans="2:16" ht="13.2">
      <c r="B88" s="658" t="s">
        <v>24</v>
      </c>
      <c r="C88" s="658"/>
      <c r="D88" s="292"/>
      <c r="E88" s="343"/>
      <c r="F88" s="350">
        <f ca="1">('Area Matrix'!$D36/'Phase I - CF Commercial'!$G$12+'Area Matrix'!$D59/'Phase II - CF Commercial'!$G$12)/2</f>
        <v>138.37</v>
      </c>
      <c r="G88" s="350">
        <f ca="1">(SUM('Area Matrix'!$D36,'Area Matrix'!H36,'Area Matrix'!L36,'Area Matrix'!P36,'Area Matrix'!T36)/'Phase I - CF Commercial'!$G$12+SUM('Area Matrix'!$D59,'Area Matrix'!H59,'Area Matrix'!L59,'Area Matrix'!P59,'Area Matrix'!T59)/'Phase II - CF Commercial'!$G$12)/2</f>
        <v>247.50869549933395</v>
      </c>
      <c r="H88" s="352">
        <f ca="1">(SUM('Area Matrix'!$D36,'Area Matrix'!$H36,'Area Matrix'!$P36,'Area Matrix'!$T36)+SUM('Area Matrix'!$D59,'Area Matrix'!$H59,'Area Matrix'!$P59,'Area Matrix'!$T59))</f>
        <v>207477645.61506081</v>
      </c>
      <c r="J88" s="414" t="s">
        <v>652</v>
      </c>
      <c r="K88" s="414"/>
      <c r="L88" s="414"/>
      <c r="M88" s="679">
        <f ca="1">SUM('Phase I - Summary'!G25,'Phase II - Summary'!G24)</f>
        <v>11155197.634659324</v>
      </c>
      <c r="N88" s="679"/>
      <c r="O88" s="659">
        <f ca="1">M88/$M$97</f>
        <v>1.3509155244948676E-2</v>
      </c>
      <c r="P88" s="659"/>
    </row>
    <row r="89" spans="2:16" ht="13.2">
      <c r="B89" s="658" t="s">
        <v>26</v>
      </c>
      <c r="C89" s="658"/>
      <c r="D89" s="292"/>
      <c r="E89" s="343"/>
      <c r="F89" s="351">
        <f>(IFERROR('Area Matrix'!$D38/'Phase I - CF Hotel'!$G$9,0)+'Area Matrix'!$D61/'Phase II - CF Hotel'!$G$15)/2</f>
        <v>39576.868769716079</v>
      </c>
      <c r="G89" s="351">
        <f ca="1">(IFERROR(SUM('Area Matrix'!$D38,'Area Matrix'!$H38,'Area Matrix'!$L38,'Area Matrix'!$P38,'Area Matrix'!$T38)/'Phase I - CF Hotel'!$G$9,0)+SUM('Area Matrix'!$D61,'Area Matrix'!$H61,'Area Matrix'!$L61,'Area Matrix'!$P61,'Area Matrix'!$T61)/'Phase II - CF Hotel'!$G$15)/2</f>
        <v>72462.391154107667</v>
      </c>
      <c r="H89" s="352">
        <f ca="1">(IFERROR(SUM('Area Matrix'!$D38,'Area Matrix'!$H38,'Area Matrix'!$P38,'Area Matrix'!$T38),0)+SUM('Area Matrix'!$D61,'Area Matrix'!$H61,'Area Matrix'!$P61,'Area Matrix'!$T61))</f>
        <v>37136266.106977344</v>
      </c>
    </row>
    <row r="90" spans="2:16" ht="13.8" thickBot="1">
      <c r="B90" s="658" t="s">
        <v>44</v>
      </c>
      <c r="C90" s="658"/>
      <c r="D90" s="292"/>
      <c r="E90" s="343"/>
      <c r="F90" s="350">
        <f>('Area Matrix'!$D37/'Phase I - CF Retail'!$G$12+'Area Matrix'!$D60/'Phase II - CF Retail'!$G$12)/2</f>
        <v>139.38</v>
      </c>
      <c r="G90" s="350">
        <f ca="1">(SUM('Area Matrix'!$D37,'Area Matrix'!$H37,'Area Matrix'!$L37,'Area Matrix'!$P37,'Area Matrix'!$T37)/'Phase I - CF Retail'!$G$12+SUM('Area Matrix'!$D60,'Area Matrix'!$H60,'Area Matrix'!$L60,'Area Matrix'!$P60,'Area Matrix'!$T60)/'Phase II - CF Retail'!$G$12)/2</f>
        <v>248.67019549933389</v>
      </c>
      <c r="H90" s="352">
        <f ca="1">(SUM('Area Matrix'!$D37,'Area Matrix'!$H37,'Area Matrix'!$P37,'Area Matrix'!$T37)+SUM('Area Matrix'!$D60,'Area Matrix'!$H60,'Area Matrix'!$P60,'Area Matrix'!$T60))</f>
        <v>62490608.32716769</v>
      </c>
      <c r="J90" s="681" t="s">
        <v>34</v>
      </c>
      <c r="K90" s="682"/>
      <c r="L90" s="682"/>
      <c r="M90" s="692"/>
      <c r="N90" s="692"/>
      <c r="O90" s="692"/>
      <c r="P90" s="692"/>
    </row>
    <row r="91" spans="2:16" s="271" customFormat="1" ht="13.8" thickTop="1">
      <c r="B91" s="664" t="s">
        <v>27</v>
      </c>
      <c r="C91" s="664"/>
      <c r="D91" s="342"/>
      <c r="E91" s="406" t="s">
        <v>17</v>
      </c>
      <c r="F91" s="352">
        <f>'Infrastructure Budget'!$C$33</f>
        <v>10000</v>
      </c>
      <c r="G91" s="352">
        <f>'Infrastructure Budget'!$C$33</f>
        <v>10000</v>
      </c>
      <c r="H91" s="352">
        <f ca="1">SUM('Infrastructure Budget'!I33)</f>
        <v>6587201.510966667</v>
      </c>
      <c r="I91" s="436"/>
      <c r="J91" s="414" t="s">
        <v>424</v>
      </c>
      <c r="K91" s="414"/>
      <c r="L91" s="414"/>
      <c r="M91" s="680">
        <f ca="1">SUM('Phase I - Summary'!G28,'Phase II - Summary'!G27)</f>
        <v>536738110.64091504</v>
      </c>
      <c r="N91" s="680"/>
      <c r="O91" s="697">
        <f ca="1">M91/$M$97</f>
        <v>0.65</v>
      </c>
      <c r="P91" s="697"/>
    </row>
    <row r="92" spans="2:16" ht="13.2">
      <c r="B92" s="342"/>
      <c r="C92" s="342"/>
      <c r="D92" s="342"/>
      <c r="E92" s="343"/>
      <c r="F92" s="271"/>
      <c r="G92" s="343"/>
      <c r="H92" s="343"/>
    </row>
    <row r="93" spans="2:16" s="271" customFormat="1" ht="13.8" thickBot="1">
      <c r="B93" s="279" t="s">
        <v>9</v>
      </c>
      <c r="C93" s="279"/>
      <c r="D93" s="279"/>
      <c r="E93" s="675" t="s">
        <v>37</v>
      </c>
      <c r="F93" s="675"/>
      <c r="G93" s="676" t="s">
        <v>39</v>
      </c>
      <c r="H93" s="676"/>
      <c r="J93" s="418" t="s">
        <v>697</v>
      </c>
      <c r="K93" s="419"/>
      <c r="L93" s="419"/>
      <c r="M93" s="417"/>
      <c r="N93" s="417"/>
      <c r="O93" s="417"/>
      <c r="P93" s="417"/>
    </row>
    <row r="94" spans="2:16" ht="13.8" thickTop="1">
      <c r="C94" s="342" t="s">
        <v>757</v>
      </c>
      <c r="D94" s="342"/>
      <c r="E94" s="670">
        <v>0</v>
      </c>
      <c r="F94" s="671"/>
      <c r="G94" s="670">
        <f>'Infrastructure Budget'!I21</f>
        <v>288925</v>
      </c>
      <c r="H94" s="671"/>
      <c r="J94" s="432" t="s">
        <v>705</v>
      </c>
      <c r="K94" s="432"/>
      <c r="L94" s="432"/>
      <c r="M94" s="670">
        <f ca="1">SUM(Taxes!N56,Taxes!AD56)</f>
        <v>38853175.634463929</v>
      </c>
      <c r="N94" s="670"/>
      <c r="O94" s="659">
        <f ca="1">M94/$M$97</f>
        <v>4.7051930283551625E-2</v>
      </c>
      <c r="P94" s="659"/>
    </row>
    <row r="95" spans="2:16" ht="13.2">
      <c r="C95" s="342" t="s">
        <v>36</v>
      </c>
      <c r="D95" s="342"/>
      <c r="E95" s="670">
        <f>'Infrastructure Budget'!I27</f>
        <v>889000</v>
      </c>
      <c r="F95" s="671"/>
      <c r="G95" s="670">
        <v>0</v>
      </c>
      <c r="H95" s="671"/>
      <c r="J95" s="278" t="s">
        <v>730</v>
      </c>
      <c r="M95" s="670">
        <f>SUM('Phase I - Summary'!G27,'Phase II - Summary'!G26)</f>
        <v>23000000</v>
      </c>
      <c r="N95" s="671"/>
      <c r="O95" s="684">
        <f ca="1">M95/$M$97</f>
        <v>2.7853434856988848E-2</v>
      </c>
      <c r="P95" s="684"/>
    </row>
    <row r="96" spans="2:16" ht="13.8" thickBot="1">
      <c r="C96" s="342" t="s">
        <v>759</v>
      </c>
      <c r="D96" s="435"/>
      <c r="E96" s="670">
        <v>0</v>
      </c>
      <c r="F96" s="671"/>
      <c r="G96" s="670">
        <f>'Infrastructure Budget'!I23</f>
        <v>1200000</v>
      </c>
      <c r="H96" s="671"/>
    </row>
    <row r="97" spans="2:16" ht="13.8" thickBot="1">
      <c r="C97" s="342" t="s">
        <v>758</v>
      </c>
      <c r="D97" s="342"/>
      <c r="E97" s="670">
        <f>SUM('Infrastructure Budget'!I13:I19)</f>
        <v>4863250</v>
      </c>
      <c r="F97" s="671"/>
      <c r="G97" s="670">
        <v>0</v>
      </c>
      <c r="H97" s="671"/>
      <c r="J97" s="686" t="s">
        <v>458</v>
      </c>
      <c r="K97" s="687"/>
      <c r="L97" s="687"/>
      <c r="M97" s="688">
        <f ca="1">SUM(M86:N96)</f>
        <v>825750939.44756162</v>
      </c>
      <c r="N97" s="689"/>
      <c r="O97" s="690">
        <f ca="1">SUM(O86:P96)</f>
        <v>1</v>
      </c>
      <c r="P97" s="691"/>
    </row>
    <row r="98" spans="2:16" ht="13.2">
      <c r="B98" s="279"/>
      <c r="C98" s="342" t="s">
        <v>49</v>
      </c>
      <c r="D98" s="271"/>
      <c r="E98" s="670">
        <v>0</v>
      </c>
      <c r="F98" s="671"/>
      <c r="G98" s="670">
        <f>'Infrastructure Budget'!I25</f>
        <v>1895554</v>
      </c>
      <c r="H98" s="670"/>
      <c r="M98" s="658"/>
      <c r="N98" s="658"/>
      <c r="O98" s="658"/>
      <c r="P98" s="658"/>
    </row>
    <row r="99" spans="2:16" ht="13.2">
      <c r="B99" s="279"/>
      <c r="C99" s="342" t="s">
        <v>745</v>
      </c>
      <c r="D99" s="342"/>
      <c r="E99" s="670">
        <v>0</v>
      </c>
      <c r="F99" s="671"/>
      <c r="G99" s="670">
        <f ca="1">'Infrastructure Budget'!I30</f>
        <v>17120641.661857784</v>
      </c>
      <c r="H99" s="671"/>
      <c r="J99" s="658"/>
      <c r="K99" s="674"/>
      <c r="L99" s="674"/>
      <c r="M99" s="658"/>
      <c r="N99" s="658"/>
      <c r="O99" s="658"/>
      <c r="P99" s="658"/>
    </row>
    <row r="100" spans="2:16" ht="13.2">
      <c r="B100" s="279"/>
      <c r="C100" s="287" t="s">
        <v>52</v>
      </c>
      <c r="D100" s="299"/>
      <c r="E100" s="670">
        <f>E45</f>
        <v>148677820</v>
      </c>
      <c r="F100" s="670"/>
      <c r="G100" s="670"/>
      <c r="H100" s="670"/>
      <c r="J100" s="658"/>
      <c r="K100" s="674"/>
      <c r="L100" s="674"/>
      <c r="M100" s="658"/>
      <c r="N100" s="658"/>
      <c r="O100" s="658"/>
      <c r="P100" s="658"/>
    </row>
    <row r="101" spans="2:16" ht="13.8" thickBot="1">
      <c r="C101" s="407" t="s">
        <v>18</v>
      </c>
      <c r="D101" s="407"/>
      <c r="E101" s="685">
        <f ca="1">SUM(G94:H99)</f>
        <v>20505120.661857784</v>
      </c>
      <c r="F101" s="685"/>
      <c r="G101" s="685"/>
      <c r="H101" s="685"/>
    </row>
    <row r="102" spans="2:16" ht="13.8" thickBot="1">
      <c r="C102" s="442" t="s">
        <v>3</v>
      </c>
      <c r="D102" s="443"/>
      <c r="E102" s="677">
        <f ca="1">SUM(H86:H91,E94:H100)</f>
        <v>825750939.44752574</v>
      </c>
      <c r="F102" s="677"/>
      <c r="G102" s="677"/>
      <c r="H102" s="678"/>
    </row>
    <row r="103" spans="2:16" ht="13.2">
      <c r="E103" s="290"/>
      <c r="F103" s="271"/>
    </row>
    <row r="104" spans="2:16" ht="13.8" thickBot="1">
      <c r="E104" s="290"/>
      <c r="F104" s="271"/>
    </row>
    <row r="105" spans="2:16" ht="14.1" customHeight="1" thickBot="1">
      <c r="J105" s="278" t="s">
        <v>701</v>
      </c>
      <c r="K105" s="444">
        <f ca="1">M97-E102</f>
        <v>3.5881996154785156E-5</v>
      </c>
    </row>
  </sheetData>
  <mergeCells count="85">
    <mergeCell ref="J87:L87"/>
    <mergeCell ref="M87:N87"/>
    <mergeCell ref="O87:P87"/>
    <mergeCell ref="J85:L85"/>
    <mergeCell ref="O91:P91"/>
    <mergeCell ref="M95:N95"/>
    <mergeCell ref="M90:N90"/>
    <mergeCell ref="O90:P90"/>
    <mergeCell ref="M86:N86"/>
    <mergeCell ref="O86:P86"/>
    <mergeCell ref="E101:H101"/>
    <mergeCell ref="O100:P100"/>
    <mergeCell ref="E100:H100"/>
    <mergeCell ref="J97:L97"/>
    <mergeCell ref="M97:N97"/>
    <mergeCell ref="J99:L99"/>
    <mergeCell ref="M99:N99"/>
    <mergeCell ref="M98:N98"/>
    <mergeCell ref="J100:L100"/>
    <mergeCell ref="M100:N100"/>
    <mergeCell ref="O99:P99"/>
    <mergeCell ref="O97:P97"/>
    <mergeCell ref="E102:H102"/>
    <mergeCell ref="B40:C40"/>
    <mergeCell ref="M88:N88"/>
    <mergeCell ref="M91:N91"/>
    <mergeCell ref="B77:C77"/>
    <mergeCell ref="B79:C79"/>
    <mergeCell ref="B90:C90"/>
    <mergeCell ref="J90:L90"/>
    <mergeCell ref="M85:N85"/>
    <mergeCell ref="J83:P83"/>
    <mergeCell ref="O85:P85"/>
    <mergeCell ref="G99:H99"/>
    <mergeCell ref="E99:F99"/>
    <mergeCell ref="O95:P95"/>
    <mergeCell ref="M94:N94"/>
    <mergeCell ref="O98:P98"/>
    <mergeCell ref="E95:F95"/>
    <mergeCell ref="G93:H93"/>
    <mergeCell ref="G98:H98"/>
    <mergeCell ref="G97:H97"/>
    <mergeCell ref="G95:H95"/>
    <mergeCell ref="E94:F94"/>
    <mergeCell ref="E98:F98"/>
    <mergeCell ref="E96:F96"/>
    <mergeCell ref="G96:H96"/>
    <mergeCell ref="E97:F97"/>
    <mergeCell ref="F12:F13"/>
    <mergeCell ref="G94:H94"/>
    <mergeCell ref="B64:P64"/>
    <mergeCell ref="B51:C51"/>
    <mergeCell ref="B53:C53"/>
    <mergeCell ref="B54:C54"/>
    <mergeCell ref="B71:C71"/>
    <mergeCell ref="B70:C70"/>
    <mergeCell ref="B72:C72"/>
    <mergeCell ref="B46:C46"/>
    <mergeCell ref="N67:O67"/>
    <mergeCell ref="O94:P94"/>
    <mergeCell ref="B19:C19"/>
    <mergeCell ref="E93:F93"/>
    <mergeCell ref="B91:C91"/>
    <mergeCell ref="P12:P13"/>
    <mergeCell ref="B22:C22"/>
    <mergeCell ref="B26:C26"/>
    <mergeCell ref="B25:C25"/>
    <mergeCell ref="B48:C48"/>
    <mergeCell ref="E12:E13"/>
    <mergeCell ref="B89:C89"/>
    <mergeCell ref="B34:C34"/>
    <mergeCell ref="B36:C36"/>
    <mergeCell ref="O88:P88"/>
    <mergeCell ref="B18:C18"/>
    <mergeCell ref="B21:C21"/>
    <mergeCell ref="B88:C88"/>
    <mergeCell ref="B85:C85"/>
    <mergeCell ref="B81:C81"/>
    <mergeCell ref="B83:H83"/>
    <mergeCell ref="B78:C78"/>
    <mergeCell ref="B80:C80"/>
    <mergeCell ref="B35:C35"/>
    <mergeCell ref="B44:C44"/>
    <mergeCell ref="B39:C39"/>
    <mergeCell ref="B20:C20"/>
  </mergeCells>
  <printOptions horizontalCentered="1"/>
  <pageMargins left="0.7" right="0.7" top="0.75" bottom="0.75" header="0.3" footer="0.3"/>
  <pageSetup paperSize="3" scale="53" fitToWidth="0" orientation="landscape" r:id="rId1"/>
  <headerFooter>
    <oddHeader xml:space="preserve">&amp;L2019 ULI Hines Student Competition&amp;R2019-331 &amp;A </oddHeader>
  </headerFooter>
  <rowBreaks count="1" manualBreakCount="1">
    <brk id="63" min="1" max="1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4761F-BEC0-483F-A5AC-41CA112C8BB9}">
  <sheetPr>
    <tabColor rgb="FFFFC000"/>
  </sheetPr>
  <dimension ref="A2:AK97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75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P2" s="565"/>
    </row>
    <row r="3" spans="1:19">
      <c r="P3" s="565"/>
    </row>
    <row r="4" spans="1:19">
      <c r="P4" s="565"/>
    </row>
    <row r="5" spans="1:19">
      <c r="P5" s="565"/>
    </row>
    <row r="6" spans="1:19">
      <c r="P6" s="565"/>
    </row>
    <row r="7" spans="1:19">
      <c r="P7" s="565"/>
    </row>
    <row r="8" spans="1:19">
      <c r="B8" s="445" t="s">
        <v>762</v>
      </c>
      <c r="P8" s="420"/>
    </row>
    <row r="9" spans="1:19" ht="15.6">
      <c r="B9" s="446" t="s">
        <v>764</v>
      </c>
      <c r="P9" s="420"/>
    </row>
    <row r="11" spans="1:19">
      <c r="A11" s="111" t="s">
        <v>472</v>
      </c>
      <c r="B11" s="265" t="s">
        <v>473</v>
      </c>
      <c r="C11" s="265"/>
      <c r="D11" s="265"/>
      <c r="E11" s="265"/>
      <c r="F11" s="265"/>
      <c r="G11" s="265"/>
      <c r="H11" s="265"/>
      <c r="I11" s="114"/>
      <c r="J11" s="265" t="s">
        <v>555</v>
      </c>
      <c r="K11" s="265"/>
      <c r="L11" s="265"/>
      <c r="M11" s="265"/>
      <c r="N11" s="266" t="s">
        <v>556</v>
      </c>
      <c r="P11" s="265" t="s">
        <v>449</v>
      </c>
      <c r="Q11" s="265"/>
      <c r="R11" s="265"/>
    </row>
    <row r="12" spans="1:19">
      <c r="B12" s="111" t="s">
        <v>557</v>
      </c>
      <c r="G12" s="348">
        <f ca="1">'Area Matrix'!D44</f>
        <v>625065.56218931719</v>
      </c>
      <c r="J12" s="111" t="s">
        <v>509</v>
      </c>
      <c r="M12" s="116">
        <f ca="1">G12*G16</f>
        <v>25396413.791751958</v>
      </c>
      <c r="N12" s="117">
        <f ca="1">M12/G12</f>
        <v>40.630000000000003</v>
      </c>
      <c r="P12" s="111" t="s">
        <v>591</v>
      </c>
      <c r="R12" s="157">
        <f ca="1">SUM('Area Matrix'!D59,'Area Matrix'!H59,'Area Matrix'!L59,'Area Matrix'!P59,'Area Matrix'!T59)</f>
        <v>167739901.93475538</v>
      </c>
    </row>
    <row r="13" spans="1:19">
      <c r="J13" s="111" t="s">
        <v>521</v>
      </c>
      <c r="M13" s="116">
        <f ca="1">-M12*G19</f>
        <v>-2539641.3791751959</v>
      </c>
      <c r="N13" s="175"/>
      <c r="P13" s="118" t="s">
        <v>507</v>
      </c>
      <c r="R13" s="157">
        <f ca="1">R12*G26</f>
        <v>0</v>
      </c>
      <c r="S13" s="119"/>
    </row>
    <row r="14" spans="1:19">
      <c r="B14" s="265" t="s">
        <v>558</v>
      </c>
      <c r="C14" s="265"/>
      <c r="D14" s="265"/>
      <c r="E14" s="265"/>
      <c r="F14" s="265"/>
      <c r="G14" s="265"/>
      <c r="H14" s="265"/>
      <c r="I14" s="114"/>
      <c r="J14" s="120" t="s">
        <v>522</v>
      </c>
      <c r="K14" s="120"/>
      <c r="L14" s="120"/>
      <c r="M14" s="121">
        <f ca="1">M12+M13</f>
        <v>22856772.412576761</v>
      </c>
      <c r="N14" s="122"/>
      <c r="P14" s="123" t="s">
        <v>453</v>
      </c>
      <c r="Q14" s="120"/>
      <c r="R14" s="121">
        <f ca="1">SUM(R12:R13)</f>
        <v>167739901.93475538</v>
      </c>
      <c r="S14" s="124"/>
    </row>
    <row r="15" spans="1:19">
      <c r="B15" s="111" t="s">
        <v>559</v>
      </c>
      <c r="G15" s="125">
        <v>15</v>
      </c>
      <c r="H15" s="111" t="s">
        <v>560</v>
      </c>
      <c r="N15" s="175"/>
    </row>
    <row r="16" spans="1:19">
      <c r="B16" s="111" t="s">
        <v>561</v>
      </c>
      <c r="G16" s="577">
        <v>40.630000000000003</v>
      </c>
      <c r="H16" s="111" t="s">
        <v>562</v>
      </c>
      <c r="J16" s="126" t="s">
        <v>11</v>
      </c>
      <c r="N16" s="175"/>
      <c r="P16" s="265" t="s">
        <v>499</v>
      </c>
      <c r="Q16" s="265"/>
      <c r="R16" s="265"/>
    </row>
    <row r="17" spans="2:18">
      <c r="B17" s="111" t="s">
        <v>563</v>
      </c>
      <c r="G17" s="578">
        <v>0.03</v>
      </c>
      <c r="H17" s="111" t="s">
        <v>564</v>
      </c>
      <c r="J17" s="111" t="s">
        <v>565</v>
      </c>
      <c r="M17" s="116">
        <f ca="1">N17*$G$12</f>
        <v>937598.34328397573</v>
      </c>
      <c r="N17" s="575">
        <v>1.5</v>
      </c>
      <c r="P17" s="118" t="s">
        <v>478</v>
      </c>
      <c r="R17" s="116">
        <f ca="1">G32</f>
        <v>117417931.35432877</v>
      </c>
    </row>
    <row r="18" spans="2:18">
      <c r="B18" s="111" t="s">
        <v>566</v>
      </c>
      <c r="G18" s="578">
        <v>0.02</v>
      </c>
      <c r="J18" s="111" t="s">
        <v>567</v>
      </c>
      <c r="M18" s="116">
        <f ca="1">N18*$G$12</f>
        <v>937598.34328397573</v>
      </c>
      <c r="N18" s="575">
        <v>1.5</v>
      </c>
      <c r="P18" s="118" t="s">
        <v>28</v>
      </c>
      <c r="R18" s="116">
        <f ca="1">R19-R17</f>
        <v>50321970.580426618</v>
      </c>
    </row>
    <row r="19" spans="2:18">
      <c r="B19" s="111" t="s">
        <v>568</v>
      </c>
      <c r="G19" s="578">
        <v>0.1</v>
      </c>
      <c r="H19" s="111" t="s">
        <v>590</v>
      </c>
      <c r="J19" s="111" t="s">
        <v>36</v>
      </c>
      <c r="M19" s="116">
        <f ca="1">N19*$G$12</f>
        <v>1250131.1243786344</v>
      </c>
      <c r="N19" s="575">
        <v>2</v>
      </c>
      <c r="P19" s="123" t="s">
        <v>458</v>
      </c>
      <c r="Q19" s="120"/>
      <c r="R19" s="121">
        <f ca="1">R14</f>
        <v>167739901.93475538</v>
      </c>
    </row>
    <row r="20" spans="2:18">
      <c r="B20" s="111" t="s">
        <v>569</v>
      </c>
      <c r="G20" s="577">
        <v>50</v>
      </c>
      <c r="H20" s="111" t="s">
        <v>570</v>
      </c>
      <c r="J20" s="111" t="s">
        <v>728</v>
      </c>
      <c r="M20" s="116">
        <f ca="1">N20*$M$12</f>
        <v>1523784.8275051175</v>
      </c>
      <c r="N20" s="412">
        <f>Taxes!$X$13</f>
        <v>0.06</v>
      </c>
    </row>
    <row r="21" spans="2:18">
      <c r="B21" s="111" t="s">
        <v>572</v>
      </c>
      <c r="G21" s="578">
        <v>0.06</v>
      </c>
      <c r="J21" s="111" t="s">
        <v>571</v>
      </c>
      <c r="M21" s="116">
        <f ca="1">N21*$M$12</f>
        <v>761892.41375255876</v>
      </c>
      <c r="N21" s="576">
        <v>0.03</v>
      </c>
      <c r="P21" s="111" t="s">
        <v>394</v>
      </c>
      <c r="R21" s="127">
        <v>0.08</v>
      </c>
    </row>
    <row r="22" spans="2:18">
      <c r="B22" s="111" t="s">
        <v>389</v>
      </c>
      <c r="G22" s="579">
        <v>5.8000000000000003E-2</v>
      </c>
      <c r="J22" s="120" t="s">
        <v>414</v>
      </c>
      <c r="K22" s="120"/>
      <c r="L22" s="120"/>
      <c r="M22" s="121">
        <f ca="1">SUM(M17:M21)</f>
        <v>5411005.0522042615</v>
      </c>
      <c r="N22" s="656">
        <v>4</v>
      </c>
    </row>
    <row r="23" spans="2:18">
      <c r="B23" s="111" t="s">
        <v>390</v>
      </c>
      <c r="G23" s="579">
        <v>5.5E-2</v>
      </c>
      <c r="N23" s="175"/>
    </row>
    <row r="24" spans="2:18">
      <c r="B24" s="111" t="s">
        <v>573</v>
      </c>
      <c r="G24" s="580">
        <v>0</v>
      </c>
      <c r="H24" s="111" t="s">
        <v>574</v>
      </c>
      <c r="J24" s="111" t="s">
        <v>575</v>
      </c>
      <c r="M24" s="116">
        <f ca="1">M14-M22</f>
        <v>17445767.360372499</v>
      </c>
      <c r="N24" s="175"/>
    </row>
    <row r="25" spans="2:18">
      <c r="B25" s="111" t="s">
        <v>391</v>
      </c>
      <c r="G25" s="156">
        <v>10</v>
      </c>
      <c r="H25" s="111" t="s">
        <v>560</v>
      </c>
      <c r="M25" s="116"/>
      <c r="N25" s="175"/>
    </row>
    <row r="26" spans="2:18">
      <c r="B26" s="111" t="s">
        <v>393</v>
      </c>
      <c r="G26" s="578">
        <v>0</v>
      </c>
      <c r="J26" s="128"/>
      <c r="M26" s="116"/>
      <c r="N26" s="175"/>
    </row>
    <row r="27" spans="2:18">
      <c r="J27" s="128"/>
      <c r="N27" s="175"/>
    </row>
    <row r="28" spans="2:18">
      <c r="B28" s="265" t="s">
        <v>576</v>
      </c>
      <c r="C28" s="265"/>
      <c r="D28" s="265"/>
      <c r="E28" s="265"/>
      <c r="F28" s="265"/>
      <c r="G28" s="265"/>
      <c r="H28" s="265"/>
      <c r="I28" s="114"/>
      <c r="N28" s="175"/>
    </row>
    <row r="29" spans="2:18">
      <c r="B29" s="111" t="s">
        <v>577</v>
      </c>
      <c r="G29" s="127">
        <v>0.7</v>
      </c>
      <c r="H29" s="111" t="s">
        <v>578</v>
      </c>
      <c r="J29" s="124"/>
      <c r="N29" s="175"/>
    </row>
    <row r="30" spans="2:18">
      <c r="B30" s="111" t="s">
        <v>460</v>
      </c>
      <c r="G30" s="127">
        <v>0.05</v>
      </c>
      <c r="J30" s="124"/>
    </row>
    <row r="31" spans="2:18">
      <c r="B31" s="111" t="s">
        <v>540</v>
      </c>
      <c r="G31" s="111">
        <v>30</v>
      </c>
      <c r="H31" s="111" t="s">
        <v>579</v>
      </c>
    </row>
    <row r="32" spans="2:18">
      <c r="B32" s="111" t="s">
        <v>580</v>
      </c>
      <c r="G32" s="116">
        <f ca="1">G29*R14</f>
        <v>117417931.35432877</v>
      </c>
    </row>
    <row r="33" spans="1:37">
      <c r="B33" s="111" t="s">
        <v>581</v>
      </c>
      <c r="G33" s="116">
        <f ca="1">PMT(G30/12,G31*12,G32)</f>
        <v>-630324.84480358695</v>
      </c>
    </row>
    <row r="35" spans="1:37">
      <c r="A35" s="111" t="s">
        <v>472</v>
      </c>
      <c r="B35" s="265" t="s">
        <v>513</v>
      </c>
      <c r="C35" s="265"/>
      <c r="D35" s="265"/>
      <c r="E35" s="265"/>
      <c r="F35" s="265"/>
      <c r="G35" s="267">
        <v>0</v>
      </c>
      <c r="H35" s="267">
        <f>G35+1</f>
        <v>1</v>
      </c>
      <c r="I35" s="267">
        <f t="shared" ref="I35:AK35" si="0">H35+1</f>
        <v>2</v>
      </c>
      <c r="J35" s="267">
        <f t="shared" si="0"/>
        <v>3</v>
      </c>
      <c r="K35" s="267">
        <f t="shared" si="0"/>
        <v>4</v>
      </c>
      <c r="L35" s="267">
        <f t="shared" si="0"/>
        <v>5</v>
      </c>
      <c r="M35" s="267">
        <f t="shared" si="0"/>
        <v>6</v>
      </c>
      <c r="N35" s="267">
        <f t="shared" si="0"/>
        <v>7</v>
      </c>
      <c r="O35" s="267">
        <f t="shared" si="0"/>
        <v>8</v>
      </c>
      <c r="P35" s="267">
        <f t="shared" si="0"/>
        <v>9</v>
      </c>
      <c r="Q35" s="267">
        <f t="shared" si="0"/>
        <v>10</v>
      </c>
      <c r="R35" s="267">
        <f t="shared" si="0"/>
        <v>11</v>
      </c>
      <c r="S35" s="129">
        <f t="shared" si="0"/>
        <v>12</v>
      </c>
      <c r="T35" s="129">
        <f t="shared" si="0"/>
        <v>13</v>
      </c>
      <c r="U35" s="129">
        <f t="shared" si="0"/>
        <v>14</v>
      </c>
      <c r="V35" s="129">
        <f t="shared" si="0"/>
        <v>15</v>
      </c>
      <c r="W35" s="129">
        <f t="shared" si="0"/>
        <v>16</v>
      </c>
      <c r="X35" s="129">
        <f t="shared" si="0"/>
        <v>17</v>
      </c>
      <c r="Y35" s="129">
        <f t="shared" si="0"/>
        <v>18</v>
      </c>
      <c r="Z35" s="129">
        <f t="shared" si="0"/>
        <v>19</v>
      </c>
      <c r="AA35" s="129">
        <f t="shared" si="0"/>
        <v>20</v>
      </c>
      <c r="AB35" s="129">
        <f t="shared" si="0"/>
        <v>21</v>
      </c>
      <c r="AC35" s="129">
        <f t="shared" si="0"/>
        <v>22</v>
      </c>
      <c r="AD35" s="129">
        <f t="shared" si="0"/>
        <v>23</v>
      </c>
      <c r="AE35" s="129">
        <f t="shared" si="0"/>
        <v>24</v>
      </c>
      <c r="AF35" s="129">
        <f t="shared" si="0"/>
        <v>25</v>
      </c>
      <c r="AG35" s="129">
        <f t="shared" si="0"/>
        <v>26</v>
      </c>
      <c r="AH35" s="129">
        <f t="shared" si="0"/>
        <v>27</v>
      </c>
      <c r="AI35" s="129">
        <f t="shared" si="0"/>
        <v>28</v>
      </c>
      <c r="AJ35" s="129">
        <f t="shared" si="0"/>
        <v>29</v>
      </c>
      <c r="AK35" s="129">
        <f t="shared" si="0"/>
        <v>30</v>
      </c>
    </row>
    <row r="36" spans="1:37">
      <c r="B36" s="111" t="s">
        <v>412</v>
      </c>
      <c r="H36" s="130">
        <f t="shared" ref="H36:AK36" si="1">1-$G$19</f>
        <v>0.9</v>
      </c>
      <c r="I36" s="130">
        <f t="shared" si="1"/>
        <v>0.9</v>
      </c>
      <c r="J36" s="130">
        <f t="shared" si="1"/>
        <v>0.9</v>
      </c>
      <c r="K36" s="130">
        <f t="shared" si="1"/>
        <v>0.9</v>
      </c>
      <c r="L36" s="130">
        <f t="shared" si="1"/>
        <v>0.9</v>
      </c>
      <c r="M36" s="130">
        <f t="shared" si="1"/>
        <v>0.9</v>
      </c>
      <c r="N36" s="130">
        <f t="shared" si="1"/>
        <v>0.9</v>
      </c>
      <c r="O36" s="130">
        <f t="shared" si="1"/>
        <v>0.9</v>
      </c>
      <c r="P36" s="130">
        <f t="shared" si="1"/>
        <v>0.9</v>
      </c>
      <c r="Q36" s="130">
        <f t="shared" si="1"/>
        <v>0.9</v>
      </c>
      <c r="R36" s="130">
        <f t="shared" si="1"/>
        <v>0.9</v>
      </c>
      <c r="S36" s="130">
        <f t="shared" si="1"/>
        <v>0.9</v>
      </c>
      <c r="T36" s="130">
        <f t="shared" si="1"/>
        <v>0.9</v>
      </c>
      <c r="U36" s="130">
        <f t="shared" si="1"/>
        <v>0.9</v>
      </c>
      <c r="V36" s="130">
        <f t="shared" si="1"/>
        <v>0.9</v>
      </c>
      <c r="W36" s="130">
        <f t="shared" si="1"/>
        <v>0.9</v>
      </c>
      <c r="X36" s="130">
        <f t="shared" si="1"/>
        <v>0.9</v>
      </c>
      <c r="Y36" s="130">
        <f t="shared" si="1"/>
        <v>0.9</v>
      </c>
      <c r="Z36" s="130">
        <f t="shared" si="1"/>
        <v>0.9</v>
      </c>
      <c r="AA36" s="130">
        <f t="shared" si="1"/>
        <v>0.9</v>
      </c>
      <c r="AB36" s="130">
        <f t="shared" si="1"/>
        <v>0.9</v>
      </c>
      <c r="AC36" s="130">
        <f t="shared" si="1"/>
        <v>0.9</v>
      </c>
      <c r="AD36" s="130">
        <f t="shared" si="1"/>
        <v>0.9</v>
      </c>
      <c r="AE36" s="130">
        <f t="shared" si="1"/>
        <v>0.9</v>
      </c>
      <c r="AF36" s="130">
        <f t="shared" si="1"/>
        <v>0.9</v>
      </c>
      <c r="AG36" s="130">
        <f t="shared" si="1"/>
        <v>0.9</v>
      </c>
      <c r="AH36" s="130">
        <f t="shared" si="1"/>
        <v>0.9</v>
      </c>
      <c r="AI36" s="130">
        <f t="shared" si="1"/>
        <v>0.9</v>
      </c>
      <c r="AJ36" s="130">
        <f t="shared" si="1"/>
        <v>0.9</v>
      </c>
      <c r="AK36" s="130">
        <f t="shared" si="1"/>
        <v>0.9</v>
      </c>
    </row>
    <row r="38" spans="1:37">
      <c r="B38" s="111" t="s">
        <v>595</v>
      </c>
      <c r="G38" s="116">
        <f ca="1">-R14</f>
        <v>-167739901.93475538</v>
      </c>
    </row>
    <row r="39" spans="1:37">
      <c r="I39" s="131"/>
    </row>
    <row r="40" spans="1:37">
      <c r="B40" s="111" t="s">
        <v>509</v>
      </c>
      <c r="H40" s="116">
        <f t="shared" ref="H40:AK40" ca="1" si="2">$M$12*(1+$G$17)^G35</f>
        <v>25396413.791751958</v>
      </c>
      <c r="I40" s="116">
        <f t="shared" ca="1" si="2"/>
        <v>26158306.205504518</v>
      </c>
      <c r="J40" s="116">
        <f t="shared" ca="1" si="2"/>
        <v>26943055.391669653</v>
      </c>
      <c r="K40" s="116">
        <f t="shared" ca="1" si="2"/>
        <v>27751347.053419743</v>
      </c>
      <c r="L40" s="116">
        <f t="shared" ca="1" si="2"/>
        <v>28583887.465022333</v>
      </c>
      <c r="M40" s="116">
        <f t="shared" ca="1" si="2"/>
        <v>29441404.088973001</v>
      </c>
      <c r="N40" s="116">
        <f t="shared" ca="1" si="2"/>
        <v>30324646.211642191</v>
      </c>
      <c r="O40" s="116">
        <f t="shared" ca="1" si="2"/>
        <v>31234385.597991459</v>
      </c>
      <c r="P40" s="116">
        <f t="shared" ca="1" si="2"/>
        <v>32171417.165931199</v>
      </c>
      <c r="Q40" s="116">
        <f t="shared" ca="1" si="2"/>
        <v>33136559.680909138</v>
      </c>
      <c r="R40" s="116">
        <f t="shared" ca="1" si="2"/>
        <v>34130656.471336409</v>
      </c>
      <c r="S40" s="116">
        <f t="shared" ca="1" si="2"/>
        <v>35154576.165476501</v>
      </c>
      <c r="T40" s="116">
        <f t="shared" ca="1" si="2"/>
        <v>36209213.450440794</v>
      </c>
      <c r="U40" s="116">
        <f t="shared" ca="1" si="2"/>
        <v>37295489.853954017</v>
      </c>
      <c r="V40" s="116">
        <f t="shared" ca="1" si="2"/>
        <v>38414354.549572639</v>
      </c>
      <c r="W40" s="116">
        <f t="shared" ca="1" si="2"/>
        <v>39566785.186059825</v>
      </c>
      <c r="X40" s="116">
        <f t="shared" ca="1" si="2"/>
        <v>40753788.741641611</v>
      </c>
      <c r="Y40" s="116">
        <f t="shared" ca="1" si="2"/>
        <v>41976402.403890856</v>
      </c>
      <c r="Z40" s="116">
        <f t="shared" ca="1" si="2"/>
        <v>43235694.476007588</v>
      </c>
      <c r="AA40" s="116">
        <f t="shared" ca="1" si="2"/>
        <v>44532765.310287811</v>
      </c>
      <c r="AB40" s="116">
        <f t="shared" ca="1" si="2"/>
        <v>45868748.269596443</v>
      </c>
      <c r="AC40" s="116">
        <f t="shared" ca="1" si="2"/>
        <v>47244810.717684329</v>
      </c>
      <c r="AD40" s="116">
        <f t="shared" ca="1" si="2"/>
        <v>48662155.039214864</v>
      </c>
      <c r="AE40" s="116">
        <f t="shared" ca="1" si="2"/>
        <v>50122019.690391317</v>
      </c>
      <c r="AF40" s="116">
        <f t="shared" ca="1" si="2"/>
        <v>51625680.281103045</v>
      </c>
      <c r="AG40" s="116">
        <f t="shared" ca="1" si="2"/>
        <v>53174450.689536139</v>
      </c>
      <c r="AH40" s="116">
        <f t="shared" ca="1" si="2"/>
        <v>54769684.210222229</v>
      </c>
      <c r="AI40" s="116">
        <f t="shared" ca="1" si="2"/>
        <v>56412774.736528888</v>
      </c>
      <c r="AJ40" s="116">
        <f t="shared" ca="1" si="2"/>
        <v>58105157.978624754</v>
      </c>
      <c r="AK40" s="116">
        <f t="shared" ca="1" si="2"/>
        <v>59848312.717983492</v>
      </c>
    </row>
    <row r="41" spans="1:37">
      <c r="C41" s="111" t="s">
        <v>521</v>
      </c>
      <c r="H41" s="116">
        <f ca="1">-(1-H36)*H40</f>
        <v>-2539641.3791751955</v>
      </c>
      <c r="I41" s="116">
        <f t="shared" ref="I41:AK41" ca="1" si="3">-(1-I36)*I40</f>
        <v>-2615830.6205504513</v>
      </c>
      <c r="J41" s="116">
        <f t="shared" ca="1" si="3"/>
        <v>-2694305.5391669646</v>
      </c>
      <c r="K41" s="116">
        <f t="shared" ca="1" si="3"/>
        <v>-2775134.7053419738</v>
      </c>
      <c r="L41" s="116">
        <f t="shared" ca="1" si="3"/>
        <v>-2858388.7465022327</v>
      </c>
      <c r="M41" s="116">
        <f t="shared" ca="1" si="3"/>
        <v>-2944140.4088972993</v>
      </c>
      <c r="N41" s="116">
        <f t="shared" ca="1" si="3"/>
        <v>-3032464.6211642185</v>
      </c>
      <c r="O41" s="116">
        <f t="shared" ca="1" si="3"/>
        <v>-3123438.5597991454</v>
      </c>
      <c r="P41" s="116">
        <f t="shared" ca="1" si="3"/>
        <v>-3217141.7165931193</v>
      </c>
      <c r="Q41" s="116">
        <f t="shared" ca="1" si="3"/>
        <v>-3313655.9680909133</v>
      </c>
      <c r="R41" s="116">
        <f t="shared" ca="1" si="3"/>
        <v>-3413065.64713364</v>
      </c>
      <c r="S41" s="116">
        <f t="shared" ca="1" si="3"/>
        <v>-3515457.6165476493</v>
      </c>
      <c r="T41" s="116">
        <f t="shared" ca="1" si="3"/>
        <v>-3620921.3450440788</v>
      </c>
      <c r="U41" s="116">
        <f t="shared" ca="1" si="3"/>
        <v>-3729548.9853954008</v>
      </c>
      <c r="V41" s="116">
        <f t="shared" ca="1" si="3"/>
        <v>-3841435.4549572631</v>
      </c>
      <c r="W41" s="116">
        <f t="shared" ca="1" si="3"/>
        <v>-3956678.5186059815</v>
      </c>
      <c r="X41" s="116">
        <f t="shared" ca="1" si="3"/>
        <v>-4075378.8741641603</v>
      </c>
      <c r="Y41" s="116">
        <f t="shared" ca="1" si="3"/>
        <v>-4197640.2403890844</v>
      </c>
      <c r="Z41" s="116">
        <f t="shared" ca="1" si="3"/>
        <v>-4323569.4476007577</v>
      </c>
      <c r="AA41" s="116">
        <f t="shared" ca="1" si="3"/>
        <v>-4453276.5310287802</v>
      </c>
      <c r="AB41" s="116">
        <f t="shared" ca="1" si="3"/>
        <v>-4586874.8269596435</v>
      </c>
      <c r="AC41" s="116">
        <f t="shared" ca="1" si="3"/>
        <v>-4724481.0717684319</v>
      </c>
      <c r="AD41" s="116">
        <f t="shared" ca="1" si="3"/>
        <v>-4866215.5039214855</v>
      </c>
      <c r="AE41" s="116">
        <f t="shared" ca="1" si="3"/>
        <v>-5012201.969039131</v>
      </c>
      <c r="AF41" s="116">
        <f t="shared" ca="1" si="3"/>
        <v>-5162568.028110303</v>
      </c>
      <c r="AG41" s="116">
        <f t="shared" ca="1" si="3"/>
        <v>-5317445.0689536128</v>
      </c>
      <c r="AH41" s="116">
        <f t="shared" ca="1" si="3"/>
        <v>-5476968.4210222214</v>
      </c>
      <c r="AI41" s="116">
        <f t="shared" ca="1" si="3"/>
        <v>-5641277.4736528872</v>
      </c>
      <c r="AJ41" s="116">
        <f t="shared" ca="1" si="3"/>
        <v>-5810515.7978624739</v>
      </c>
      <c r="AK41" s="116">
        <f t="shared" ca="1" si="3"/>
        <v>-5984831.2717983481</v>
      </c>
    </row>
    <row r="42" spans="1:37">
      <c r="C42" s="111" t="s">
        <v>573</v>
      </c>
      <c r="H42" s="116">
        <v>0</v>
      </c>
      <c r="I42" s="116">
        <v>0</v>
      </c>
      <c r="J42" s="116">
        <v>0</v>
      </c>
      <c r="K42" s="116">
        <v>0</v>
      </c>
      <c r="L42" s="116">
        <v>0</v>
      </c>
      <c r="M42" s="116">
        <v>0</v>
      </c>
      <c r="N42" s="116">
        <v>0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v>0</v>
      </c>
      <c r="Z42" s="116">
        <v>0</v>
      </c>
      <c r="AA42" s="116">
        <v>0</v>
      </c>
      <c r="AB42" s="116">
        <v>0</v>
      </c>
      <c r="AC42" s="116">
        <v>0</v>
      </c>
      <c r="AD42" s="116">
        <v>0</v>
      </c>
      <c r="AE42" s="116">
        <v>0</v>
      </c>
      <c r="AF42" s="116">
        <v>0</v>
      </c>
      <c r="AG42" s="116">
        <v>0</v>
      </c>
      <c r="AH42" s="116">
        <v>0</v>
      </c>
      <c r="AI42" s="116">
        <v>0</v>
      </c>
      <c r="AJ42" s="116">
        <v>0</v>
      </c>
      <c r="AK42" s="116">
        <v>0</v>
      </c>
    </row>
    <row r="43" spans="1:37">
      <c r="B43" s="120" t="s">
        <v>522</v>
      </c>
      <c r="C43" s="120"/>
      <c r="D43" s="120"/>
      <c r="E43" s="120"/>
      <c r="F43" s="120"/>
      <c r="G43" s="120"/>
      <c r="H43" s="121">
        <f ca="1">SUM(H40:H42)</f>
        <v>22856772.412576765</v>
      </c>
      <c r="I43" s="121">
        <f t="shared" ref="I43:AK43" ca="1" si="4">SUM(I40:I42)</f>
        <v>23542475.584954068</v>
      </c>
      <c r="J43" s="121">
        <f t="shared" ca="1" si="4"/>
        <v>24248749.852502689</v>
      </c>
      <c r="K43" s="121">
        <f t="shared" ca="1" si="4"/>
        <v>24976212.34807777</v>
      </c>
      <c r="L43" s="121">
        <f t="shared" ca="1" si="4"/>
        <v>25725498.718520101</v>
      </c>
      <c r="M43" s="121">
        <f t="shared" ca="1" si="4"/>
        <v>26497263.680075701</v>
      </c>
      <c r="N43" s="121">
        <f t="shared" ca="1" si="4"/>
        <v>27292181.590477973</v>
      </c>
      <c r="O43" s="121">
        <f t="shared" ca="1" si="4"/>
        <v>28110947.038192313</v>
      </c>
      <c r="P43" s="121">
        <f t="shared" ca="1" si="4"/>
        <v>28954275.449338078</v>
      </c>
      <c r="Q43" s="121">
        <f t="shared" ca="1" si="4"/>
        <v>29822903.712818224</v>
      </c>
      <c r="R43" s="121">
        <f t="shared" ca="1" si="4"/>
        <v>30717590.824202769</v>
      </c>
      <c r="S43" s="121">
        <f t="shared" ca="1" si="4"/>
        <v>31639118.548928853</v>
      </c>
      <c r="T43" s="121">
        <f t="shared" ca="1" si="4"/>
        <v>32588292.105396714</v>
      </c>
      <c r="U43" s="121">
        <f t="shared" ca="1" si="4"/>
        <v>33565940.868558615</v>
      </c>
      <c r="V43" s="121">
        <f t="shared" ca="1" si="4"/>
        <v>34572919.094615377</v>
      </c>
      <c r="W43" s="121">
        <f t="shared" ca="1" si="4"/>
        <v>35610106.66745384</v>
      </c>
      <c r="X43" s="121">
        <f t="shared" ca="1" si="4"/>
        <v>36678409.867477447</v>
      </c>
      <c r="Y43" s="121">
        <f t="shared" ca="1" si="4"/>
        <v>37778762.163501769</v>
      </c>
      <c r="Z43" s="121">
        <f t="shared" ca="1" si="4"/>
        <v>38912125.028406829</v>
      </c>
      <c r="AA43" s="121">
        <f t="shared" ca="1" si="4"/>
        <v>40079488.779259034</v>
      </c>
      <c r="AB43" s="121">
        <f t="shared" ca="1" si="4"/>
        <v>41281873.442636803</v>
      </c>
      <c r="AC43" s="121">
        <f t="shared" ca="1" si="4"/>
        <v>42520329.645915896</v>
      </c>
      <c r="AD43" s="121">
        <f t="shared" ca="1" si="4"/>
        <v>43795939.535293378</v>
      </c>
      <c r="AE43" s="121">
        <f t="shared" ca="1" si="4"/>
        <v>45109817.72135219</v>
      </c>
      <c r="AF43" s="121">
        <f t="shared" ca="1" si="4"/>
        <v>46463112.252992742</v>
      </c>
      <c r="AG43" s="121">
        <f t="shared" ca="1" si="4"/>
        <v>47857005.620582528</v>
      </c>
      <c r="AH43" s="121">
        <f t="shared" ca="1" si="4"/>
        <v>49292715.789200008</v>
      </c>
      <c r="AI43" s="121">
        <f t="shared" ca="1" si="4"/>
        <v>50771497.262876004</v>
      </c>
      <c r="AJ43" s="121">
        <f t="shared" ca="1" si="4"/>
        <v>52294642.180762276</v>
      </c>
      <c r="AK43" s="121">
        <f t="shared" ca="1" si="4"/>
        <v>53863481.446185142</v>
      </c>
    </row>
    <row r="45" spans="1:37">
      <c r="B45" s="111" t="s">
        <v>413</v>
      </c>
    </row>
    <row r="46" spans="1:37">
      <c r="C46" s="111" t="str">
        <f>J17</f>
        <v>Repairs and Maintenance</v>
      </c>
      <c r="H46" s="116">
        <f t="shared" ref="H46:AK49" ca="1" si="5">$M17*(1+$G$18)^G$35</f>
        <v>937598.34328397573</v>
      </c>
      <c r="I46" s="116">
        <f t="shared" ca="1" si="5"/>
        <v>956350.31014965521</v>
      </c>
      <c r="J46" s="116">
        <f t="shared" ca="1" si="5"/>
        <v>975477.31635264831</v>
      </c>
      <c r="K46" s="116">
        <f t="shared" ca="1" si="5"/>
        <v>994986.8626797013</v>
      </c>
      <c r="L46" s="116">
        <f t="shared" ca="1" si="5"/>
        <v>1014886.5999332953</v>
      </c>
      <c r="M46" s="116">
        <f t="shared" ca="1" si="5"/>
        <v>1035184.3319319612</v>
      </c>
      <c r="N46" s="116">
        <f t="shared" ca="1" si="5"/>
        <v>1055888.0185706005</v>
      </c>
      <c r="O46" s="116">
        <f t="shared" ca="1" si="5"/>
        <v>1077005.7789420122</v>
      </c>
      <c r="P46" s="116">
        <f t="shared" ca="1" si="5"/>
        <v>1098545.8945208527</v>
      </c>
      <c r="Q46" s="116">
        <f t="shared" ca="1" si="5"/>
        <v>1120516.8124112696</v>
      </c>
      <c r="R46" s="116">
        <f t="shared" ca="1" si="5"/>
        <v>1142927.1486594952</v>
      </c>
      <c r="S46" s="116">
        <f t="shared" ca="1" si="5"/>
        <v>1165785.6916326848</v>
      </c>
      <c r="T46" s="116">
        <f t="shared" ca="1" si="5"/>
        <v>1189101.4054653388</v>
      </c>
      <c r="U46" s="116">
        <f t="shared" ca="1" si="5"/>
        <v>1212883.4335746455</v>
      </c>
      <c r="V46" s="116">
        <f t="shared" ca="1" si="5"/>
        <v>1237141.1022461385</v>
      </c>
      <c r="W46" s="116">
        <f t="shared" ca="1" si="5"/>
        <v>1261883.924291061</v>
      </c>
      <c r="X46" s="116">
        <f t="shared" ca="1" si="5"/>
        <v>1287121.6027768822</v>
      </c>
      <c r="Y46" s="116">
        <f t="shared" ca="1" si="5"/>
        <v>1312864.0348324201</v>
      </c>
      <c r="Z46" s="116">
        <f t="shared" ca="1" si="5"/>
        <v>1339121.3155290682</v>
      </c>
      <c r="AA46" s="116">
        <f t="shared" ca="1" si="5"/>
        <v>1365903.7418396496</v>
      </c>
      <c r="AB46" s="116">
        <f t="shared" ca="1" si="5"/>
        <v>1393221.8166764427</v>
      </c>
      <c r="AC46" s="116">
        <f t="shared" ca="1" si="5"/>
        <v>1421086.2530099715</v>
      </c>
      <c r="AD46" s="116">
        <f t="shared" ca="1" si="5"/>
        <v>1449507.9780701711</v>
      </c>
      <c r="AE46" s="116">
        <f t="shared" ca="1" si="5"/>
        <v>1478498.1376315742</v>
      </c>
      <c r="AF46" s="116">
        <f t="shared" ca="1" si="5"/>
        <v>1508068.1003842058</v>
      </c>
      <c r="AG46" s="116">
        <f t="shared" ca="1" si="5"/>
        <v>1538229.4623918899</v>
      </c>
      <c r="AH46" s="116">
        <f t="shared" ca="1" si="5"/>
        <v>1568994.0516397278</v>
      </c>
      <c r="AI46" s="116">
        <f t="shared" ca="1" si="5"/>
        <v>1600373.932672522</v>
      </c>
      <c r="AJ46" s="116">
        <f t="shared" ca="1" si="5"/>
        <v>1632381.411325973</v>
      </c>
      <c r="AK46" s="116">
        <f t="shared" ca="1" si="5"/>
        <v>1665029.0395524921</v>
      </c>
    </row>
    <row r="47" spans="1:37">
      <c r="C47" s="111" t="str">
        <f>J18</f>
        <v>Administrative</v>
      </c>
      <c r="H47" s="116">
        <f t="shared" ca="1" si="5"/>
        <v>937598.34328397573</v>
      </c>
      <c r="I47" s="116">
        <f t="shared" ca="1" si="5"/>
        <v>956350.31014965521</v>
      </c>
      <c r="J47" s="116">
        <f t="shared" ca="1" si="5"/>
        <v>975477.31635264831</v>
      </c>
      <c r="K47" s="116">
        <f t="shared" ca="1" si="5"/>
        <v>994986.8626797013</v>
      </c>
      <c r="L47" s="116">
        <f t="shared" ca="1" si="5"/>
        <v>1014886.5999332953</v>
      </c>
      <c r="M47" s="116">
        <f t="shared" ca="1" si="5"/>
        <v>1035184.3319319612</v>
      </c>
      <c r="N47" s="116">
        <f t="shared" ca="1" si="5"/>
        <v>1055888.0185706005</v>
      </c>
      <c r="O47" s="116">
        <f t="shared" ca="1" si="5"/>
        <v>1077005.7789420122</v>
      </c>
      <c r="P47" s="116">
        <f t="shared" ca="1" si="5"/>
        <v>1098545.8945208527</v>
      </c>
      <c r="Q47" s="116">
        <f t="shared" ca="1" si="5"/>
        <v>1120516.8124112696</v>
      </c>
      <c r="R47" s="116">
        <f t="shared" ca="1" si="5"/>
        <v>1142927.1486594952</v>
      </c>
      <c r="S47" s="116">
        <f t="shared" ca="1" si="5"/>
        <v>1165785.6916326848</v>
      </c>
      <c r="T47" s="116">
        <f t="shared" ca="1" si="5"/>
        <v>1189101.4054653388</v>
      </c>
      <c r="U47" s="116">
        <f t="shared" ca="1" si="5"/>
        <v>1212883.4335746455</v>
      </c>
      <c r="V47" s="116">
        <f t="shared" ca="1" si="5"/>
        <v>1237141.1022461385</v>
      </c>
      <c r="W47" s="116">
        <f t="shared" ca="1" si="5"/>
        <v>1261883.924291061</v>
      </c>
      <c r="X47" s="116">
        <f t="shared" ca="1" si="5"/>
        <v>1287121.6027768822</v>
      </c>
      <c r="Y47" s="116">
        <f t="shared" ca="1" si="5"/>
        <v>1312864.0348324201</v>
      </c>
      <c r="Z47" s="116">
        <f t="shared" ca="1" si="5"/>
        <v>1339121.3155290682</v>
      </c>
      <c r="AA47" s="116">
        <f t="shared" ca="1" si="5"/>
        <v>1365903.7418396496</v>
      </c>
      <c r="AB47" s="116">
        <f t="shared" ca="1" si="5"/>
        <v>1393221.8166764427</v>
      </c>
      <c r="AC47" s="116">
        <f t="shared" ca="1" si="5"/>
        <v>1421086.2530099715</v>
      </c>
      <c r="AD47" s="116">
        <f t="shared" ca="1" si="5"/>
        <v>1449507.9780701711</v>
      </c>
      <c r="AE47" s="116">
        <f t="shared" ca="1" si="5"/>
        <v>1478498.1376315742</v>
      </c>
      <c r="AF47" s="116">
        <f t="shared" ca="1" si="5"/>
        <v>1508068.1003842058</v>
      </c>
      <c r="AG47" s="116">
        <f t="shared" ca="1" si="5"/>
        <v>1538229.4623918899</v>
      </c>
      <c r="AH47" s="116">
        <f t="shared" ca="1" si="5"/>
        <v>1568994.0516397278</v>
      </c>
      <c r="AI47" s="116">
        <f t="shared" ca="1" si="5"/>
        <v>1600373.932672522</v>
      </c>
      <c r="AJ47" s="116">
        <f t="shared" ca="1" si="5"/>
        <v>1632381.411325973</v>
      </c>
      <c r="AK47" s="116">
        <f t="shared" ca="1" si="5"/>
        <v>1665029.0395524921</v>
      </c>
    </row>
    <row r="48" spans="1:37">
      <c r="C48" s="111" t="str">
        <f>J19</f>
        <v>Utilities</v>
      </c>
      <c r="H48" s="116">
        <f t="shared" ca="1" si="5"/>
        <v>1250131.1243786344</v>
      </c>
      <c r="I48" s="116">
        <f t="shared" ca="1" si="5"/>
        <v>1275133.7468662071</v>
      </c>
      <c r="J48" s="116">
        <f t="shared" ca="1" si="5"/>
        <v>1300636.4218035312</v>
      </c>
      <c r="K48" s="116">
        <f t="shared" ca="1" si="5"/>
        <v>1326649.1502396017</v>
      </c>
      <c r="L48" s="116">
        <f t="shared" ca="1" si="5"/>
        <v>1353182.1332443939</v>
      </c>
      <c r="M48" s="116">
        <f t="shared" ca="1" si="5"/>
        <v>1380245.7759092818</v>
      </c>
      <c r="N48" s="116">
        <f t="shared" ca="1" si="5"/>
        <v>1407850.6914274674</v>
      </c>
      <c r="O48" s="116">
        <f t="shared" ca="1" si="5"/>
        <v>1436007.7052560165</v>
      </c>
      <c r="P48" s="116">
        <f t="shared" ca="1" si="5"/>
        <v>1464727.859361137</v>
      </c>
      <c r="Q48" s="116">
        <f t="shared" ca="1" si="5"/>
        <v>1494022.4165483597</v>
      </c>
      <c r="R48" s="116">
        <f t="shared" ca="1" si="5"/>
        <v>1523902.8648793269</v>
      </c>
      <c r="S48" s="116">
        <f t="shared" ca="1" si="5"/>
        <v>1554380.9221769131</v>
      </c>
      <c r="T48" s="116">
        <f t="shared" ca="1" si="5"/>
        <v>1585468.5406204518</v>
      </c>
      <c r="U48" s="116">
        <f t="shared" ca="1" si="5"/>
        <v>1617177.9114328607</v>
      </c>
      <c r="V48" s="116">
        <f t="shared" ca="1" si="5"/>
        <v>1649521.469661518</v>
      </c>
      <c r="W48" s="116">
        <f t="shared" ca="1" si="5"/>
        <v>1682511.899054748</v>
      </c>
      <c r="X48" s="116">
        <f t="shared" ca="1" si="5"/>
        <v>1716162.1370358432</v>
      </c>
      <c r="Y48" s="116">
        <f t="shared" ca="1" si="5"/>
        <v>1750485.3797765602</v>
      </c>
      <c r="Z48" s="116">
        <f t="shared" ca="1" si="5"/>
        <v>1785495.0873720911</v>
      </c>
      <c r="AA48" s="116">
        <f t="shared" ca="1" si="5"/>
        <v>1821204.989119533</v>
      </c>
      <c r="AB48" s="116">
        <f t="shared" ca="1" si="5"/>
        <v>1857629.0889019237</v>
      </c>
      <c r="AC48" s="116">
        <f t="shared" ca="1" si="5"/>
        <v>1894781.6706799623</v>
      </c>
      <c r="AD48" s="116">
        <f t="shared" ca="1" si="5"/>
        <v>1932677.3040935616</v>
      </c>
      <c r="AE48" s="116">
        <f t="shared" ca="1" si="5"/>
        <v>1971330.8501754324</v>
      </c>
      <c r="AF48" s="116">
        <f t="shared" ca="1" si="5"/>
        <v>2010757.4671789412</v>
      </c>
      <c r="AG48" s="116">
        <f t="shared" ca="1" si="5"/>
        <v>2050972.6165225198</v>
      </c>
      <c r="AH48" s="116">
        <f t="shared" ca="1" si="5"/>
        <v>2091992.0688529706</v>
      </c>
      <c r="AI48" s="116">
        <f t="shared" ca="1" si="5"/>
        <v>2133831.9102300298</v>
      </c>
      <c r="AJ48" s="116">
        <f t="shared" ca="1" si="5"/>
        <v>2176508.5484346305</v>
      </c>
      <c r="AK48" s="116">
        <f t="shared" ca="1" si="5"/>
        <v>2220038.7194033228</v>
      </c>
    </row>
    <row r="49" spans="2:37">
      <c r="C49" s="111" t="str">
        <f>J20</f>
        <v>Real Estate Taxes</v>
      </c>
      <c r="H49" s="116">
        <f t="shared" ca="1" si="5"/>
        <v>1523784.8275051175</v>
      </c>
      <c r="I49" s="116">
        <f t="shared" ref="I49" ca="1" si="6">$M20*(1+$G$18)^H$35</f>
        <v>1554260.52405522</v>
      </c>
      <c r="J49" s="116">
        <f t="shared" ref="J49" ca="1" si="7">$M20*(1+$G$18)^I$35</f>
        <v>1585345.7345363242</v>
      </c>
      <c r="K49" s="116">
        <f t="shared" ref="K49" ca="1" si="8">$M20*(1+$G$18)^J$35</f>
        <v>1617052.6492270506</v>
      </c>
      <c r="L49" s="116">
        <f t="shared" ref="L49" ca="1" si="9">$M20*(1+$G$18)^K$35</f>
        <v>1649393.7022115916</v>
      </c>
      <c r="M49" s="116">
        <f t="shared" ref="M49" ca="1" si="10">$M20*(1+$G$18)^L$35</f>
        <v>1682381.5762558237</v>
      </c>
      <c r="N49" s="116">
        <f t="shared" ref="N49" ca="1" si="11">$M20*(1+$G$18)^M$35</f>
        <v>1716029.2077809402</v>
      </c>
      <c r="O49" s="116">
        <f t="shared" ref="O49" ca="1" si="12">$M20*(1+$G$18)^N$35</f>
        <v>1750349.7919365587</v>
      </c>
      <c r="P49" s="116">
        <f t="shared" ref="P49" ca="1" si="13">$M20*(1+$G$18)^O$35</f>
        <v>1785356.78777529</v>
      </c>
      <c r="Q49" s="116">
        <f t="shared" ref="Q49" ca="1" si="14">$M20*(1+$G$18)^P$35</f>
        <v>1821063.9235307958</v>
      </c>
      <c r="R49" s="116">
        <f t="shared" ref="R49" ca="1" si="15">$M20*(1+$G$18)^Q$35</f>
        <v>1857485.2020014117</v>
      </c>
      <c r="S49" s="116">
        <f t="shared" ref="S49" ca="1" si="16">$M20*(1+$G$18)^R$35</f>
        <v>1894634.9060414396</v>
      </c>
      <c r="T49" s="116">
        <f t="shared" ref="T49" ca="1" si="17">$M20*(1+$G$18)^S$35</f>
        <v>1932527.6041622688</v>
      </c>
      <c r="U49" s="116">
        <f t="shared" ref="U49" ca="1" si="18">$M20*(1+$G$18)^T$35</f>
        <v>1971178.1562455141</v>
      </c>
      <c r="V49" s="116">
        <f t="shared" ref="V49" ca="1" si="19">$M20*(1+$G$18)^U$35</f>
        <v>2010601.7193704245</v>
      </c>
      <c r="W49" s="116">
        <f t="shared" ref="W49" ca="1" si="20">$M20*(1+$G$18)^V$35</f>
        <v>2050813.7537578323</v>
      </c>
      <c r="X49" s="116">
        <f t="shared" ref="X49" ca="1" si="21">$M20*(1+$G$18)^W$35</f>
        <v>2091830.0288329893</v>
      </c>
      <c r="Y49" s="116">
        <f t="shared" ref="Y49" ca="1" si="22">$M20*(1+$G$18)^X$35</f>
        <v>2133666.6294096494</v>
      </c>
      <c r="Z49" s="116">
        <f t="shared" ref="Z49" ca="1" si="23">$M20*(1+$G$18)^Y$35</f>
        <v>2176339.961997842</v>
      </c>
      <c r="AA49" s="116">
        <f t="shared" ref="AA49" ca="1" si="24">$M20*(1+$G$18)^Z$35</f>
        <v>2219866.7612377987</v>
      </c>
      <c r="AB49" s="116">
        <f t="shared" ref="AB49" ca="1" si="25">$M20*(1+$G$18)^AA$35</f>
        <v>2264264.0964625552</v>
      </c>
      <c r="AC49" s="116">
        <f t="shared" ref="AC49" ca="1" si="26">$M20*(1+$G$18)^AB$35</f>
        <v>2309549.378391806</v>
      </c>
      <c r="AD49" s="116">
        <f t="shared" ref="AD49" ca="1" si="27">$M20*(1+$G$18)^AC$35</f>
        <v>2355740.3659596425</v>
      </c>
      <c r="AE49" s="116">
        <f t="shared" ref="AE49" ca="1" si="28">$M20*(1+$G$18)^AD$35</f>
        <v>2402855.1732788347</v>
      </c>
      <c r="AF49" s="116">
        <f t="shared" ref="AF49" ca="1" si="29">$M20*(1+$G$18)^AE$35</f>
        <v>2450912.2767444113</v>
      </c>
      <c r="AG49" s="116">
        <f t="shared" ref="AG49" ca="1" si="30">$M20*(1+$G$18)^AF$35</f>
        <v>2499930.5222792998</v>
      </c>
      <c r="AH49" s="116">
        <f t="shared" ref="AH49" ca="1" si="31">$M20*(1+$G$18)^AG$35</f>
        <v>2549929.1327248858</v>
      </c>
      <c r="AI49" s="116">
        <f t="shared" ref="AI49" ca="1" si="32">$M20*(1+$G$18)^AH$35</f>
        <v>2600927.7153793834</v>
      </c>
      <c r="AJ49" s="116">
        <f t="shared" ref="AJ49" ca="1" si="33">$M20*(1+$G$18)^AI$35</f>
        <v>2652946.2696869713</v>
      </c>
      <c r="AK49" s="116">
        <f t="shared" ref="AK49" ca="1" si="34">$M20*(1+$G$18)^AJ$35</f>
        <v>2706005.1950807106</v>
      </c>
    </row>
    <row r="50" spans="2:37">
      <c r="C50" s="111" t="str">
        <f>J21</f>
        <v>Property Management Fee (% gross revenue)</v>
      </c>
      <c r="H50" s="116">
        <f t="shared" ref="H50:AK50" ca="1" si="35">H40*$N$21</f>
        <v>761892.41375255876</v>
      </c>
      <c r="I50" s="116">
        <f t="shared" ca="1" si="35"/>
        <v>784749.18616513547</v>
      </c>
      <c r="J50" s="116">
        <f t="shared" ca="1" si="35"/>
        <v>808291.66175008961</v>
      </c>
      <c r="K50" s="116">
        <f t="shared" ca="1" si="35"/>
        <v>832540.41160259221</v>
      </c>
      <c r="L50" s="116">
        <f t="shared" ca="1" si="35"/>
        <v>857516.62395067001</v>
      </c>
      <c r="M50" s="116">
        <f t="shared" ca="1" si="35"/>
        <v>883242.12266918994</v>
      </c>
      <c r="N50" s="116">
        <f t="shared" ca="1" si="35"/>
        <v>909739.3863492657</v>
      </c>
      <c r="O50" s="116">
        <f t="shared" ca="1" si="35"/>
        <v>937031.56793974375</v>
      </c>
      <c r="P50" s="116">
        <f t="shared" ca="1" si="35"/>
        <v>965142.51497793593</v>
      </c>
      <c r="Q50" s="116">
        <f t="shared" ca="1" si="35"/>
        <v>994096.79042727407</v>
      </c>
      <c r="R50" s="116">
        <f t="shared" ca="1" si="35"/>
        <v>1023919.6941400922</v>
      </c>
      <c r="S50" s="116">
        <f t="shared" ca="1" si="35"/>
        <v>1054637.2849642951</v>
      </c>
      <c r="T50" s="116">
        <f t="shared" ca="1" si="35"/>
        <v>1086276.4035132239</v>
      </c>
      <c r="U50" s="116">
        <f t="shared" ca="1" si="35"/>
        <v>1118864.6956186204</v>
      </c>
      <c r="V50" s="116">
        <f t="shared" ca="1" si="35"/>
        <v>1152430.6364871792</v>
      </c>
      <c r="W50" s="116">
        <f t="shared" ca="1" si="35"/>
        <v>1187003.5555817948</v>
      </c>
      <c r="X50" s="116">
        <f t="shared" ca="1" si="35"/>
        <v>1222613.6622492482</v>
      </c>
      <c r="Y50" s="116">
        <f t="shared" ca="1" si="35"/>
        <v>1259292.0721167256</v>
      </c>
      <c r="Z50" s="116">
        <f t="shared" ca="1" si="35"/>
        <v>1297070.8342802275</v>
      </c>
      <c r="AA50" s="116">
        <f t="shared" ca="1" si="35"/>
        <v>1335982.9593086343</v>
      </c>
      <c r="AB50" s="116">
        <f t="shared" ca="1" si="35"/>
        <v>1376062.4480878932</v>
      </c>
      <c r="AC50" s="116">
        <f t="shared" ca="1" si="35"/>
        <v>1417344.3215305298</v>
      </c>
      <c r="AD50" s="116">
        <f t="shared" ca="1" si="35"/>
        <v>1459864.6511764459</v>
      </c>
      <c r="AE50" s="116">
        <f t="shared" ca="1" si="35"/>
        <v>1503660.5907117394</v>
      </c>
      <c r="AF50" s="116">
        <f t="shared" ca="1" si="35"/>
        <v>1548770.4084330914</v>
      </c>
      <c r="AG50" s="116">
        <f t="shared" ca="1" si="35"/>
        <v>1595233.5206860842</v>
      </c>
      <c r="AH50" s="116">
        <f t="shared" ca="1" si="35"/>
        <v>1643090.5263066669</v>
      </c>
      <c r="AI50" s="116">
        <f t="shared" ca="1" si="35"/>
        <v>1692383.2420958665</v>
      </c>
      <c r="AJ50" s="116">
        <f t="shared" ca="1" si="35"/>
        <v>1743154.7393587425</v>
      </c>
      <c r="AK50" s="116">
        <f t="shared" ca="1" si="35"/>
        <v>1795449.3815395047</v>
      </c>
    </row>
    <row r="51" spans="2:37">
      <c r="B51" s="120" t="s">
        <v>414</v>
      </c>
      <c r="C51" s="120"/>
      <c r="D51" s="120"/>
      <c r="E51" s="120"/>
      <c r="F51" s="120"/>
      <c r="G51" s="120"/>
      <c r="H51" s="121">
        <f t="shared" ref="H51:R51" ca="1" si="36">SUM(H46:H50)</f>
        <v>5411005.0522042615</v>
      </c>
      <c r="I51" s="121">
        <f t="shared" ca="1" si="36"/>
        <v>5526844.0773858726</v>
      </c>
      <c r="J51" s="121">
        <f t="shared" ca="1" si="36"/>
        <v>5645228.4507952407</v>
      </c>
      <c r="K51" s="121">
        <f t="shared" ca="1" si="36"/>
        <v>5766215.9364286475</v>
      </c>
      <c r="L51" s="121">
        <f t="shared" ca="1" si="36"/>
        <v>5889865.6592732463</v>
      </c>
      <c r="M51" s="121">
        <f t="shared" ca="1" si="36"/>
        <v>6016238.1386982184</v>
      </c>
      <c r="N51" s="121">
        <f t="shared" ca="1" si="36"/>
        <v>6145395.3226988744</v>
      </c>
      <c r="O51" s="121">
        <f t="shared" ca="1" si="36"/>
        <v>6277400.6230163425</v>
      </c>
      <c r="P51" s="121">
        <f t="shared" ca="1" si="36"/>
        <v>6412318.9511560686</v>
      </c>
      <c r="Q51" s="121">
        <f t="shared" ca="1" si="36"/>
        <v>6550216.7553289691</v>
      </c>
      <c r="R51" s="121">
        <f t="shared" ca="1" si="36"/>
        <v>6691162.0583398212</v>
      </c>
      <c r="S51" s="121">
        <f t="shared" ref="S51:AK51" ca="1" si="37">SUM(S46:S50)</f>
        <v>6835224.4964480177</v>
      </c>
      <c r="T51" s="121">
        <f t="shared" ca="1" si="37"/>
        <v>6982475.3592266226</v>
      </c>
      <c r="U51" s="121">
        <f t="shared" ca="1" si="37"/>
        <v>7132987.6304462859</v>
      </c>
      <c r="V51" s="121">
        <f t="shared" ca="1" si="37"/>
        <v>7286836.0300113987</v>
      </c>
      <c r="W51" s="121">
        <f t="shared" ca="1" si="37"/>
        <v>7444097.0569764972</v>
      </c>
      <c r="X51" s="121">
        <f t="shared" ca="1" si="37"/>
        <v>7604849.0336718448</v>
      </c>
      <c r="Y51" s="121">
        <f t="shared" ca="1" si="37"/>
        <v>7769172.1509677749</v>
      </c>
      <c r="Z51" s="121">
        <f t="shared" ca="1" si="37"/>
        <v>7937148.5147082964</v>
      </c>
      <c r="AA51" s="121">
        <f t="shared" ca="1" si="37"/>
        <v>8108862.1933452645</v>
      </c>
      <c r="AB51" s="121">
        <f t="shared" ca="1" si="37"/>
        <v>8284399.2668052576</v>
      </c>
      <c r="AC51" s="121">
        <f t="shared" ca="1" si="37"/>
        <v>8463847.876622241</v>
      </c>
      <c r="AD51" s="121">
        <f t="shared" ca="1" si="37"/>
        <v>8647298.2773699909</v>
      </c>
      <c r="AE51" s="121">
        <f t="shared" ca="1" si="37"/>
        <v>8834842.8894291539</v>
      </c>
      <c r="AF51" s="121">
        <f t="shared" ca="1" si="37"/>
        <v>9026576.3531248551</v>
      </c>
      <c r="AG51" s="121">
        <f t="shared" ca="1" si="37"/>
        <v>9222595.5842716843</v>
      </c>
      <c r="AH51" s="121">
        <f t="shared" ca="1" si="37"/>
        <v>9422999.8311639782</v>
      </c>
      <c r="AI51" s="121">
        <f t="shared" ca="1" si="37"/>
        <v>9627890.733050324</v>
      </c>
      <c r="AJ51" s="121">
        <f t="shared" ca="1" si="37"/>
        <v>9837372.3801322896</v>
      </c>
      <c r="AK51" s="121">
        <f t="shared" ca="1" si="37"/>
        <v>10051551.375128523</v>
      </c>
    </row>
    <row r="53" spans="2:37">
      <c r="B53" s="111" t="s">
        <v>524</v>
      </c>
      <c r="H53" s="116">
        <f t="shared" ref="H53:AK53" ca="1" si="38">H43-H51</f>
        <v>17445767.360372502</v>
      </c>
      <c r="I53" s="116">
        <f t="shared" ca="1" si="38"/>
        <v>18015631.507568195</v>
      </c>
      <c r="J53" s="116">
        <f t="shared" ca="1" si="38"/>
        <v>18603521.401707448</v>
      </c>
      <c r="K53" s="116">
        <f t="shared" ca="1" si="38"/>
        <v>19209996.411649123</v>
      </c>
      <c r="L53" s="116">
        <f t="shared" ca="1" si="38"/>
        <v>19835633.059246853</v>
      </c>
      <c r="M53" s="116">
        <f t="shared" ca="1" si="38"/>
        <v>20481025.541377485</v>
      </c>
      <c r="N53" s="116">
        <f t="shared" ca="1" si="38"/>
        <v>21146786.267779097</v>
      </c>
      <c r="O53" s="116">
        <f t="shared" ca="1" si="38"/>
        <v>21833546.415175971</v>
      </c>
      <c r="P53" s="116">
        <f t="shared" ca="1" si="38"/>
        <v>22541956.49818201</v>
      </c>
      <c r="Q53" s="116">
        <f t="shared" ca="1" si="38"/>
        <v>23272686.957489256</v>
      </c>
      <c r="R53" s="116">
        <f t="shared" ca="1" si="38"/>
        <v>24026428.765862949</v>
      </c>
      <c r="S53" s="116">
        <f t="shared" ca="1" si="38"/>
        <v>24803894.052480835</v>
      </c>
      <c r="T53" s="116">
        <f t="shared" ca="1" si="38"/>
        <v>25605816.746170092</v>
      </c>
      <c r="U53" s="116">
        <f t="shared" ca="1" si="38"/>
        <v>26432953.23811233</v>
      </c>
      <c r="V53" s="116">
        <f t="shared" ca="1" si="38"/>
        <v>27286083.064603977</v>
      </c>
      <c r="W53" s="116">
        <f t="shared" ca="1" si="38"/>
        <v>28166009.610477343</v>
      </c>
      <c r="X53" s="116">
        <f t="shared" ca="1" si="38"/>
        <v>29073560.833805602</v>
      </c>
      <c r="Y53" s="116">
        <f t="shared" ca="1" si="38"/>
        <v>30009590.012533993</v>
      </c>
      <c r="Z53" s="116">
        <f t="shared" ca="1" si="38"/>
        <v>30974976.513698533</v>
      </c>
      <c r="AA53" s="116">
        <f t="shared" ca="1" si="38"/>
        <v>31970626.58591377</v>
      </c>
      <c r="AB53" s="116">
        <f t="shared" ca="1" si="38"/>
        <v>32997474.175831545</v>
      </c>
      <c r="AC53" s="116">
        <f t="shared" ca="1" si="38"/>
        <v>34056481.769293651</v>
      </c>
      <c r="AD53" s="116">
        <f t="shared" ca="1" si="38"/>
        <v>35148641.257923387</v>
      </c>
      <c r="AE53" s="116">
        <f t="shared" ca="1" si="38"/>
        <v>36274974.831923038</v>
      </c>
      <c r="AF53" s="116">
        <f t="shared" ca="1" si="38"/>
        <v>37436535.899867885</v>
      </c>
      <c r="AG53" s="116">
        <f t="shared" ca="1" si="38"/>
        <v>38634410.036310844</v>
      </c>
      <c r="AH53" s="116">
        <f t="shared" ca="1" si="38"/>
        <v>39869715.958036028</v>
      </c>
      <c r="AI53" s="116">
        <f t="shared" ca="1" si="38"/>
        <v>41143606.52982568</v>
      </c>
      <c r="AJ53" s="116">
        <f t="shared" ca="1" si="38"/>
        <v>42457269.800629988</v>
      </c>
      <c r="AK53" s="116">
        <f t="shared" ca="1" si="38"/>
        <v>43811930.071056619</v>
      </c>
    </row>
    <row r="55" spans="2:37">
      <c r="B55" s="111" t="s">
        <v>582</v>
      </c>
    </row>
    <row r="56" spans="2:37">
      <c r="C56" s="111" t="s">
        <v>583</v>
      </c>
      <c r="H56" s="116">
        <f ca="1">-IF($G$25=10,SUM(H88:R88)*G12,SUM(H88:L88)*$G$12)</f>
        <v>-19516324.747449096</v>
      </c>
    </row>
    <row r="57" spans="2:37">
      <c r="C57" s="111" t="s">
        <v>584</v>
      </c>
      <c r="H57" s="116">
        <f ca="1">-G20*G12</f>
        <v>-31253278.10946586</v>
      </c>
    </row>
    <row r="59" spans="2:37">
      <c r="B59" s="111" t="s">
        <v>6</v>
      </c>
      <c r="G59" s="116">
        <f t="shared" ref="G59:AK59" ca="1" si="39">IF(G35&lt;=$G$25+1,G38+G53+SUM(G56:G57),0)</f>
        <v>-167739901.93475538</v>
      </c>
      <c r="H59" s="116">
        <f t="shared" ca="1" si="39"/>
        <v>-33323835.49654245</v>
      </c>
      <c r="I59" s="116">
        <f t="shared" ca="1" si="39"/>
        <v>18015631.507568195</v>
      </c>
      <c r="J59" s="116">
        <f t="shared" ca="1" si="39"/>
        <v>18603521.401707448</v>
      </c>
      <c r="K59" s="116">
        <f t="shared" ca="1" si="39"/>
        <v>19209996.411649123</v>
      </c>
      <c r="L59" s="116">
        <f t="shared" ca="1" si="39"/>
        <v>19835633.059246853</v>
      </c>
      <c r="M59" s="116">
        <f t="shared" ca="1" si="39"/>
        <v>20481025.541377485</v>
      </c>
      <c r="N59" s="116">
        <f t="shared" ca="1" si="39"/>
        <v>21146786.267779097</v>
      </c>
      <c r="O59" s="116">
        <f t="shared" ca="1" si="39"/>
        <v>21833546.415175971</v>
      </c>
      <c r="P59" s="116">
        <f t="shared" ca="1" si="39"/>
        <v>22541956.49818201</v>
      </c>
      <c r="Q59" s="116">
        <f t="shared" ca="1" si="39"/>
        <v>23272686.957489256</v>
      </c>
      <c r="R59" s="116">
        <f t="shared" ca="1" si="39"/>
        <v>24026428.765862949</v>
      </c>
      <c r="S59" s="116">
        <f t="shared" si="39"/>
        <v>0</v>
      </c>
      <c r="T59" s="116">
        <f t="shared" si="39"/>
        <v>0</v>
      </c>
      <c r="U59" s="116">
        <f t="shared" si="39"/>
        <v>0</v>
      </c>
      <c r="V59" s="116">
        <f t="shared" si="39"/>
        <v>0</v>
      </c>
      <c r="W59" s="116">
        <f t="shared" si="39"/>
        <v>0</v>
      </c>
      <c r="X59" s="116">
        <f t="shared" si="39"/>
        <v>0</v>
      </c>
      <c r="Y59" s="116">
        <f t="shared" si="39"/>
        <v>0</v>
      </c>
      <c r="Z59" s="116">
        <f t="shared" si="39"/>
        <v>0</v>
      </c>
      <c r="AA59" s="116">
        <f t="shared" si="39"/>
        <v>0</v>
      </c>
      <c r="AB59" s="116">
        <f t="shared" si="39"/>
        <v>0</v>
      </c>
      <c r="AC59" s="116">
        <f t="shared" si="39"/>
        <v>0</v>
      </c>
      <c r="AD59" s="116">
        <f t="shared" si="39"/>
        <v>0</v>
      </c>
      <c r="AE59" s="116">
        <f t="shared" si="39"/>
        <v>0</v>
      </c>
      <c r="AF59" s="116">
        <f t="shared" si="39"/>
        <v>0</v>
      </c>
      <c r="AG59" s="116">
        <f t="shared" si="39"/>
        <v>0</v>
      </c>
      <c r="AH59" s="116">
        <f t="shared" si="39"/>
        <v>0</v>
      </c>
      <c r="AI59" s="116">
        <f t="shared" si="39"/>
        <v>0</v>
      </c>
      <c r="AJ59" s="116">
        <f t="shared" si="39"/>
        <v>0</v>
      </c>
      <c r="AK59" s="116">
        <f t="shared" si="39"/>
        <v>0</v>
      </c>
    </row>
    <row r="60" spans="2:37"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</row>
    <row r="61" spans="2:37">
      <c r="B61" s="111" t="s">
        <v>525</v>
      </c>
      <c r="H61" s="116">
        <f t="shared" ref="H61:AJ61" si="40">IF(H35=$G$25,I59/$G$23,0)</f>
        <v>0</v>
      </c>
      <c r="I61" s="116">
        <f t="shared" si="40"/>
        <v>0</v>
      </c>
      <c r="J61" s="116">
        <f t="shared" si="40"/>
        <v>0</v>
      </c>
      <c r="K61" s="116">
        <f t="shared" si="40"/>
        <v>0</v>
      </c>
      <c r="L61" s="116">
        <f t="shared" si="40"/>
        <v>0</v>
      </c>
      <c r="M61" s="116">
        <f t="shared" si="40"/>
        <v>0</v>
      </c>
      <c r="N61" s="116">
        <f t="shared" si="40"/>
        <v>0</v>
      </c>
      <c r="O61" s="116">
        <f t="shared" si="40"/>
        <v>0</v>
      </c>
      <c r="P61" s="116">
        <f t="shared" si="40"/>
        <v>0</v>
      </c>
      <c r="Q61" s="116">
        <f t="shared" ca="1" si="40"/>
        <v>436844159.37932634</v>
      </c>
      <c r="R61" s="116">
        <f t="shared" si="40"/>
        <v>0</v>
      </c>
      <c r="S61" s="116">
        <f t="shared" si="40"/>
        <v>0</v>
      </c>
      <c r="T61" s="116">
        <f t="shared" si="40"/>
        <v>0</v>
      </c>
      <c r="U61" s="116">
        <f t="shared" si="40"/>
        <v>0</v>
      </c>
      <c r="V61" s="116">
        <f t="shared" si="40"/>
        <v>0</v>
      </c>
      <c r="W61" s="116">
        <f t="shared" si="40"/>
        <v>0</v>
      </c>
      <c r="X61" s="116">
        <f t="shared" si="40"/>
        <v>0</v>
      </c>
      <c r="Y61" s="116">
        <f t="shared" si="40"/>
        <v>0</v>
      </c>
      <c r="Z61" s="116">
        <f t="shared" si="40"/>
        <v>0</v>
      </c>
      <c r="AA61" s="116">
        <f t="shared" si="40"/>
        <v>0</v>
      </c>
      <c r="AB61" s="116">
        <f t="shared" si="40"/>
        <v>0</v>
      </c>
      <c r="AC61" s="116">
        <f t="shared" si="40"/>
        <v>0</v>
      </c>
      <c r="AD61" s="116">
        <f t="shared" si="40"/>
        <v>0</v>
      </c>
      <c r="AE61" s="116">
        <f t="shared" si="40"/>
        <v>0</v>
      </c>
      <c r="AF61" s="116">
        <f t="shared" si="40"/>
        <v>0</v>
      </c>
      <c r="AG61" s="116">
        <f t="shared" si="40"/>
        <v>0</v>
      </c>
      <c r="AH61" s="116">
        <f t="shared" si="40"/>
        <v>0</v>
      </c>
      <c r="AI61" s="116">
        <f t="shared" si="40"/>
        <v>0</v>
      </c>
      <c r="AJ61" s="116">
        <f t="shared" si="40"/>
        <v>0</v>
      </c>
      <c r="AK61" s="116">
        <f>IF(AK35=$G$25,#REF!/$G$23,0)</f>
        <v>0</v>
      </c>
    </row>
    <row r="62" spans="2:37">
      <c r="B62" s="111" t="s">
        <v>393</v>
      </c>
      <c r="H62" s="116">
        <f>-H61*$G$26</f>
        <v>0</v>
      </c>
      <c r="I62" s="116">
        <f t="shared" ref="I62:AK62" si="41">-I61*$G$26</f>
        <v>0</v>
      </c>
      <c r="J62" s="116">
        <f t="shared" si="41"/>
        <v>0</v>
      </c>
      <c r="K62" s="116">
        <f t="shared" si="41"/>
        <v>0</v>
      </c>
      <c r="L62" s="116">
        <f t="shared" si="41"/>
        <v>0</v>
      </c>
      <c r="M62" s="116">
        <f t="shared" si="41"/>
        <v>0</v>
      </c>
      <c r="N62" s="116">
        <f t="shared" si="41"/>
        <v>0</v>
      </c>
      <c r="O62" s="116">
        <f t="shared" si="41"/>
        <v>0</v>
      </c>
      <c r="P62" s="116">
        <f t="shared" si="41"/>
        <v>0</v>
      </c>
      <c r="Q62" s="116">
        <f t="shared" ca="1" si="41"/>
        <v>0</v>
      </c>
      <c r="R62" s="116">
        <f t="shared" si="41"/>
        <v>0</v>
      </c>
      <c r="S62" s="116">
        <f t="shared" si="41"/>
        <v>0</v>
      </c>
      <c r="T62" s="116">
        <f t="shared" si="41"/>
        <v>0</v>
      </c>
      <c r="U62" s="116">
        <f t="shared" si="41"/>
        <v>0</v>
      </c>
      <c r="V62" s="116">
        <f t="shared" si="41"/>
        <v>0</v>
      </c>
      <c r="W62" s="116">
        <f t="shared" si="41"/>
        <v>0</v>
      </c>
      <c r="X62" s="116">
        <f t="shared" si="41"/>
        <v>0</v>
      </c>
      <c r="Y62" s="116">
        <f t="shared" si="41"/>
        <v>0</v>
      </c>
      <c r="Z62" s="116">
        <f t="shared" si="41"/>
        <v>0</v>
      </c>
      <c r="AA62" s="116">
        <f t="shared" si="41"/>
        <v>0</v>
      </c>
      <c r="AB62" s="116">
        <f t="shared" si="41"/>
        <v>0</v>
      </c>
      <c r="AC62" s="116">
        <f t="shared" si="41"/>
        <v>0</v>
      </c>
      <c r="AD62" s="116">
        <f t="shared" si="41"/>
        <v>0</v>
      </c>
      <c r="AE62" s="116">
        <f t="shared" si="41"/>
        <v>0</v>
      </c>
      <c r="AF62" s="116">
        <f t="shared" si="41"/>
        <v>0</v>
      </c>
      <c r="AG62" s="116">
        <f t="shared" si="41"/>
        <v>0</v>
      </c>
      <c r="AH62" s="116">
        <f t="shared" si="41"/>
        <v>0</v>
      </c>
      <c r="AI62" s="116">
        <f t="shared" si="41"/>
        <v>0</v>
      </c>
      <c r="AJ62" s="116">
        <f t="shared" si="41"/>
        <v>0</v>
      </c>
      <c r="AK62" s="116">
        <f t="shared" si="41"/>
        <v>0</v>
      </c>
    </row>
    <row r="63" spans="2:37">
      <c r="B63" s="120" t="s">
        <v>526</v>
      </c>
      <c r="C63" s="120"/>
      <c r="D63" s="120"/>
      <c r="E63" s="120"/>
      <c r="F63" s="120"/>
      <c r="G63" s="121">
        <f ca="1">SUM(G59:G62)</f>
        <v>-167739901.93475538</v>
      </c>
      <c r="H63" s="121">
        <f t="shared" ref="H63:AK63" ca="1" si="42">SUM(H59:H62)</f>
        <v>-33323835.49654245</v>
      </c>
      <c r="I63" s="121">
        <f t="shared" ca="1" si="42"/>
        <v>18015631.507568195</v>
      </c>
      <c r="J63" s="121">
        <f t="shared" ca="1" si="42"/>
        <v>18603521.401707448</v>
      </c>
      <c r="K63" s="121">
        <f t="shared" ca="1" si="42"/>
        <v>19209996.411649123</v>
      </c>
      <c r="L63" s="121">
        <f t="shared" ca="1" si="42"/>
        <v>19835633.059246853</v>
      </c>
      <c r="M63" s="121">
        <f t="shared" ca="1" si="42"/>
        <v>20481025.541377485</v>
      </c>
      <c r="N63" s="121">
        <f t="shared" ca="1" si="42"/>
        <v>21146786.267779097</v>
      </c>
      <c r="O63" s="121">
        <f t="shared" ca="1" si="42"/>
        <v>21833546.415175971</v>
      </c>
      <c r="P63" s="121">
        <f t="shared" ca="1" si="42"/>
        <v>22541956.49818201</v>
      </c>
      <c r="Q63" s="121">
        <f t="shared" ca="1" si="42"/>
        <v>460116846.3368156</v>
      </c>
      <c r="R63" s="121">
        <f t="shared" ca="1" si="42"/>
        <v>24026428.765862949</v>
      </c>
      <c r="S63" s="121">
        <f t="shared" si="42"/>
        <v>0</v>
      </c>
      <c r="T63" s="121">
        <f t="shared" si="42"/>
        <v>0</v>
      </c>
      <c r="U63" s="121">
        <f t="shared" si="42"/>
        <v>0</v>
      </c>
      <c r="V63" s="121">
        <f t="shared" si="42"/>
        <v>0</v>
      </c>
      <c r="W63" s="121">
        <f t="shared" si="42"/>
        <v>0</v>
      </c>
      <c r="X63" s="121">
        <f t="shared" si="42"/>
        <v>0</v>
      </c>
      <c r="Y63" s="121">
        <f t="shared" si="42"/>
        <v>0</v>
      </c>
      <c r="Z63" s="121">
        <f t="shared" si="42"/>
        <v>0</v>
      </c>
      <c r="AA63" s="121">
        <f t="shared" si="42"/>
        <v>0</v>
      </c>
      <c r="AB63" s="121">
        <f t="shared" si="42"/>
        <v>0</v>
      </c>
      <c r="AC63" s="121">
        <f t="shared" si="42"/>
        <v>0</v>
      </c>
      <c r="AD63" s="121">
        <f t="shared" si="42"/>
        <v>0</v>
      </c>
      <c r="AE63" s="121">
        <f t="shared" si="42"/>
        <v>0</v>
      </c>
      <c r="AF63" s="121">
        <f t="shared" si="42"/>
        <v>0</v>
      </c>
      <c r="AG63" s="121">
        <f t="shared" si="42"/>
        <v>0</v>
      </c>
      <c r="AH63" s="121">
        <f t="shared" si="42"/>
        <v>0</v>
      </c>
      <c r="AI63" s="121">
        <f t="shared" si="42"/>
        <v>0</v>
      </c>
      <c r="AJ63" s="121">
        <f t="shared" si="42"/>
        <v>0</v>
      </c>
      <c r="AK63" s="121">
        <f t="shared" si="42"/>
        <v>0</v>
      </c>
    </row>
    <row r="64" spans="2:37" ht="15" thickBot="1"/>
    <row r="65" spans="2:37">
      <c r="B65" s="132" t="s">
        <v>527</v>
      </c>
      <c r="C65" s="133"/>
      <c r="D65" s="133"/>
      <c r="E65" s="133"/>
      <c r="F65" s="133"/>
      <c r="G65" s="134">
        <f ca="1">SUM(G63:R63)</f>
        <v>444747634.77406687</v>
      </c>
    </row>
    <row r="66" spans="2:37">
      <c r="B66" s="135" t="s">
        <v>528</v>
      </c>
      <c r="G66" s="136">
        <f ca="1">NPV($R$21,H63:R63)</f>
        <v>298723585.08200139</v>
      </c>
    </row>
    <row r="67" spans="2:37">
      <c r="B67" s="135" t="s">
        <v>529</v>
      </c>
      <c r="G67" s="136">
        <f ca="1">G66+G63</f>
        <v>130983683.147246</v>
      </c>
    </row>
    <row r="68" spans="2:37">
      <c r="B68" s="135" t="s">
        <v>530</v>
      </c>
      <c r="G68" s="137">
        <f ca="1">IRR(G63:R63)</f>
        <v>0.1494289125917927</v>
      </c>
    </row>
    <row r="69" spans="2:37" ht="15" thickBot="1">
      <c r="B69" s="138" t="s">
        <v>531</v>
      </c>
      <c r="C69" s="139"/>
      <c r="D69" s="139"/>
      <c r="E69" s="139"/>
      <c r="F69" s="139"/>
      <c r="G69" s="140">
        <f ca="1">(G65/-G63)+1</f>
        <v>3.6514122736703234</v>
      </c>
    </row>
    <row r="71" spans="2:37">
      <c r="B71" s="111" t="s">
        <v>532</v>
      </c>
      <c r="G71" s="116">
        <f ca="1">G32</f>
        <v>117417931.35432877</v>
      </c>
    </row>
    <row r="72" spans="2:37">
      <c r="B72" s="111" t="s">
        <v>533</v>
      </c>
      <c r="H72" s="116">
        <f t="shared" ref="H72:AK72" si="43">IF(H35=$G$25,FV($G$30/12,H35*12,$G$33,$G$32),0)</f>
        <v>0</v>
      </c>
      <c r="I72" s="116">
        <f t="shared" si="43"/>
        <v>0</v>
      </c>
      <c r="J72" s="116">
        <f t="shared" si="43"/>
        <v>0</v>
      </c>
      <c r="K72" s="116">
        <f t="shared" si="43"/>
        <v>0</v>
      </c>
      <c r="L72" s="116">
        <f t="shared" si="43"/>
        <v>0</v>
      </c>
      <c r="M72" s="116">
        <f t="shared" si="43"/>
        <v>0</v>
      </c>
      <c r="N72" s="116">
        <f t="shared" si="43"/>
        <v>0</v>
      </c>
      <c r="O72" s="116">
        <f t="shared" si="43"/>
        <v>0</v>
      </c>
      <c r="P72" s="116">
        <f t="shared" si="43"/>
        <v>0</v>
      </c>
      <c r="Q72" s="116">
        <f t="shared" ca="1" si="43"/>
        <v>-95510169.447387189</v>
      </c>
      <c r="R72" s="116">
        <f t="shared" si="43"/>
        <v>0</v>
      </c>
      <c r="S72" s="116">
        <f t="shared" si="43"/>
        <v>0</v>
      </c>
      <c r="T72" s="116">
        <f t="shared" si="43"/>
        <v>0</v>
      </c>
      <c r="U72" s="116">
        <f t="shared" si="43"/>
        <v>0</v>
      </c>
      <c r="V72" s="116">
        <f t="shared" si="43"/>
        <v>0</v>
      </c>
      <c r="W72" s="116">
        <f t="shared" si="43"/>
        <v>0</v>
      </c>
      <c r="X72" s="116">
        <f t="shared" si="43"/>
        <v>0</v>
      </c>
      <c r="Y72" s="116">
        <f t="shared" si="43"/>
        <v>0</v>
      </c>
      <c r="Z72" s="116">
        <f t="shared" si="43"/>
        <v>0</v>
      </c>
      <c r="AA72" s="116">
        <f t="shared" si="43"/>
        <v>0</v>
      </c>
      <c r="AB72" s="116">
        <f t="shared" si="43"/>
        <v>0</v>
      </c>
      <c r="AC72" s="116">
        <f t="shared" si="43"/>
        <v>0</v>
      </c>
      <c r="AD72" s="116">
        <f t="shared" si="43"/>
        <v>0</v>
      </c>
      <c r="AE72" s="116">
        <f t="shared" si="43"/>
        <v>0</v>
      </c>
      <c r="AF72" s="116">
        <f t="shared" si="43"/>
        <v>0</v>
      </c>
      <c r="AG72" s="116">
        <f t="shared" si="43"/>
        <v>0</v>
      </c>
      <c r="AH72" s="116">
        <f t="shared" si="43"/>
        <v>0</v>
      </c>
      <c r="AI72" s="116">
        <f t="shared" si="43"/>
        <v>0</v>
      </c>
      <c r="AJ72" s="116">
        <f t="shared" si="43"/>
        <v>0</v>
      </c>
      <c r="AK72" s="116">
        <f t="shared" si="43"/>
        <v>0</v>
      </c>
    </row>
    <row r="73" spans="2:37">
      <c r="B73" s="111" t="s">
        <v>534</v>
      </c>
      <c r="H73" s="116">
        <f t="shared" ref="H73:AK73" ca="1" si="44">IF(H35&lt;=$G$25,$G$33*12,0)</f>
        <v>-7563898.137643043</v>
      </c>
      <c r="I73" s="116">
        <f t="shared" ca="1" si="44"/>
        <v>-7563898.137643043</v>
      </c>
      <c r="J73" s="116">
        <f t="shared" ca="1" si="44"/>
        <v>-7563898.137643043</v>
      </c>
      <c r="K73" s="116">
        <f t="shared" ca="1" si="44"/>
        <v>-7563898.137643043</v>
      </c>
      <c r="L73" s="116">
        <f t="shared" ca="1" si="44"/>
        <v>-7563898.137643043</v>
      </c>
      <c r="M73" s="116">
        <f t="shared" ca="1" si="44"/>
        <v>-7563898.137643043</v>
      </c>
      <c r="N73" s="116">
        <f t="shared" ca="1" si="44"/>
        <v>-7563898.137643043</v>
      </c>
      <c r="O73" s="116">
        <f t="shared" ca="1" si="44"/>
        <v>-7563898.137643043</v>
      </c>
      <c r="P73" s="116">
        <f t="shared" ca="1" si="44"/>
        <v>-7563898.137643043</v>
      </c>
      <c r="Q73" s="116">
        <f t="shared" ca="1" si="44"/>
        <v>-7563898.137643043</v>
      </c>
      <c r="R73" s="116">
        <f t="shared" si="44"/>
        <v>0</v>
      </c>
      <c r="S73" s="116">
        <f t="shared" si="44"/>
        <v>0</v>
      </c>
      <c r="T73" s="116">
        <f t="shared" si="44"/>
        <v>0</v>
      </c>
      <c r="U73" s="116">
        <f t="shared" si="44"/>
        <v>0</v>
      </c>
      <c r="V73" s="116">
        <f t="shared" si="44"/>
        <v>0</v>
      </c>
      <c r="W73" s="116">
        <f t="shared" si="44"/>
        <v>0</v>
      </c>
      <c r="X73" s="116">
        <f t="shared" si="44"/>
        <v>0</v>
      </c>
      <c r="Y73" s="116">
        <f t="shared" si="44"/>
        <v>0</v>
      </c>
      <c r="Z73" s="116">
        <f t="shared" si="44"/>
        <v>0</v>
      </c>
      <c r="AA73" s="116">
        <f t="shared" si="44"/>
        <v>0</v>
      </c>
      <c r="AB73" s="116">
        <f t="shared" si="44"/>
        <v>0</v>
      </c>
      <c r="AC73" s="116">
        <f t="shared" si="44"/>
        <v>0</v>
      </c>
      <c r="AD73" s="116">
        <f t="shared" si="44"/>
        <v>0</v>
      </c>
      <c r="AE73" s="116">
        <f t="shared" si="44"/>
        <v>0</v>
      </c>
      <c r="AF73" s="116">
        <f t="shared" si="44"/>
        <v>0</v>
      </c>
      <c r="AG73" s="116">
        <f t="shared" si="44"/>
        <v>0</v>
      </c>
      <c r="AH73" s="116">
        <f t="shared" si="44"/>
        <v>0</v>
      </c>
      <c r="AI73" s="116">
        <f t="shared" si="44"/>
        <v>0</v>
      </c>
      <c r="AJ73" s="116">
        <f t="shared" si="44"/>
        <v>0</v>
      </c>
      <c r="AK73" s="116">
        <f t="shared" si="44"/>
        <v>0</v>
      </c>
    </row>
    <row r="75" spans="2:37">
      <c r="B75" s="111" t="s">
        <v>535</v>
      </c>
      <c r="G75" s="116">
        <f t="shared" ref="G75:AK75" ca="1" si="45">IF(G35&lt;=$G$25,SUM(G63,G71:G73),0)</f>
        <v>-50321970.580426618</v>
      </c>
      <c r="H75" s="116">
        <f t="shared" ca="1" si="45"/>
        <v>-40887733.634185493</v>
      </c>
      <c r="I75" s="116">
        <f t="shared" ca="1" si="45"/>
        <v>10451733.369925153</v>
      </c>
      <c r="J75" s="116">
        <f t="shared" ca="1" si="45"/>
        <v>11039623.264064405</v>
      </c>
      <c r="K75" s="116">
        <f t="shared" ca="1" si="45"/>
        <v>11646098.27400608</v>
      </c>
      <c r="L75" s="116">
        <f t="shared" ca="1" si="45"/>
        <v>12271734.92160381</v>
      </c>
      <c r="M75" s="116">
        <f t="shared" ca="1" si="45"/>
        <v>12917127.403734442</v>
      </c>
      <c r="N75" s="116">
        <f t="shared" ca="1" si="45"/>
        <v>13582888.130136054</v>
      </c>
      <c r="O75" s="116">
        <f t="shared" ca="1" si="45"/>
        <v>14269648.277532928</v>
      </c>
      <c r="P75" s="116">
        <f t="shared" ca="1" si="45"/>
        <v>14978058.360538967</v>
      </c>
      <c r="Q75" s="116">
        <f t="shared" ca="1" si="45"/>
        <v>357042778.75178534</v>
      </c>
      <c r="R75" s="116">
        <f t="shared" si="45"/>
        <v>0</v>
      </c>
      <c r="S75" s="116">
        <f t="shared" si="45"/>
        <v>0</v>
      </c>
      <c r="T75" s="116">
        <f t="shared" si="45"/>
        <v>0</v>
      </c>
      <c r="U75" s="116">
        <f t="shared" si="45"/>
        <v>0</v>
      </c>
      <c r="V75" s="116">
        <f t="shared" si="45"/>
        <v>0</v>
      </c>
      <c r="W75" s="116">
        <f t="shared" si="45"/>
        <v>0</v>
      </c>
      <c r="X75" s="116">
        <f t="shared" si="45"/>
        <v>0</v>
      </c>
      <c r="Y75" s="116">
        <f t="shared" si="45"/>
        <v>0</v>
      </c>
      <c r="Z75" s="116">
        <f t="shared" si="45"/>
        <v>0</v>
      </c>
      <c r="AA75" s="116">
        <f t="shared" si="45"/>
        <v>0</v>
      </c>
      <c r="AB75" s="116">
        <f t="shared" si="45"/>
        <v>0</v>
      </c>
      <c r="AC75" s="116">
        <f t="shared" si="45"/>
        <v>0</v>
      </c>
      <c r="AD75" s="116">
        <f t="shared" si="45"/>
        <v>0</v>
      </c>
      <c r="AE75" s="116">
        <f t="shared" si="45"/>
        <v>0</v>
      </c>
      <c r="AF75" s="116">
        <f t="shared" si="45"/>
        <v>0</v>
      </c>
      <c r="AG75" s="116">
        <f t="shared" si="45"/>
        <v>0</v>
      </c>
      <c r="AH75" s="116">
        <f t="shared" si="45"/>
        <v>0</v>
      </c>
      <c r="AI75" s="116">
        <f t="shared" si="45"/>
        <v>0</v>
      </c>
      <c r="AJ75" s="116">
        <f t="shared" si="45"/>
        <v>0</v>
      </c>
      <c r="AK75" s="116">
        <f t="shared" si="45"/>
        <v>0</v>
      </c>
    </row>
    <row r="76" spans="2:37" ht="15" thickBot="1"/>
    <row r="77" spans="2:37">
      <c r="B77" s="132" t="s">
        <v>527</v>
      </c>
      <c r="C77" s="133"/>
      <c r="D77" s="133"/>
      <c r="E77" s="133"/>
      <c r="F77" s="133"/>
      <c r="G77" s="134">
        <f ca="1">SUM(G75:R75)</f>
        <v>366989986.53871506</v>
      </c>
    </row>
    <row r="78" spans="2:37">
      <c r="B78" s="135" t="s">
        <v>528</v>
      </c>
      <c r="G78" s="136">
        <f ca="1">NPV($R$21,H75:R75)</f>
        <v>193425000.88244429</v>
      </c>
    </row>
    <row r="79" spans="2:37">
      <c r="B79" s="135" t="s">
        <v>529</v>
      </c>
      <c r="G79" s="136">
        <f ca="1">G78+G75</f>
        <v>143103030.30201769</v>
      </c>
    </row>
    <row r="80" spans="2:37">
      <c r="B80" s="135" t="s">
        <v>536</v>
      </c>
      <c r="G80" s="141">
        <f ca="1">IRR(G75:R75)</f>
        <v>0.22126737323433288</v>
      </c>
    </row>
    <row r="81" spans="1:37" ht="15" thickBot="1">
      <c r="B81" s="138" t="s">
        <v>531</v>
      </c>
      <c r="C81" s="139"/>
      <c r="D81" s="139"/>
      <c r="E81" s="139"/>
      <c r="F81" s="139"/>
      <c r="G81" s="140">
        <f ca="1">(G77/-G75)+1</f>
        <v>8.292838144169588</v>
      </c>
    </row>
    <row r="83" spans="1:37" s="113" customFormat="1">
      <c r="A83" s="142" t="s">
        <v>472</v>
      </c>
      <c r="B83" s="265" t="s">
        <v>585</v>
      </c>
      <c r="C83" s="265"/>
      <c r="D83" s="265"/>
      <c r="E83" s="265"/>
      <c r="F83" s="265"/>
      <c r="G83" s="265"/>
      <c r="H83" s="267">
        <f t="shared" ref="H83:AK83" si="46">H35</f>
        <v>1</v>
      </c>
      <c r="I83" s="267">
        <f t="shared" si="46"/>
        <v>2</v>
      </c>
      <c r="J83" s="267">
        <f t="shared" si="46"/>
        <v>3</v>
      </c>
      <c r="K83" s="267">
        <f t="shared" si="46"/>
        <v>4</v>
      </c>
      <c r="L83" s="267">
        <f t="shared" si="46"/>
        <v>5</v>
      </c>
      <c r="M83" s="267">
        <f t="shared" si="46"/>
        <v>6</v>
      </c>
      <c r="N83" s="267">
        <f t="shared" si="46"/>
        <v>7</v>
      </c>
      <c r="O83" s="267">
        <f t="shared" si="46"/>
        <v>8</v>
      </c>
      <c r="P83" s="267">
        <f t="shared" si="46"/>
        <v>9</v>
      </c>
      <c r="Q83" s="267">
        <f t="shared" si="46"/>
        <v>10</v>
      </c>
      <c r="R83" s="267">
        <f t="shared" si="46"/>
        <v>11</v>
      </c>
      <c r="S83" s="129">
        <f t="shared" si="46"/>
        <v>12</v>
      </c>
      <c r="T83" s="129">
        <f t="shared" si="46"/>
        <v>13</v>
      </c>
      <c r="U83" s="129">
        <f t="shared" si="46"/>
        <v>14</v>
      </c>
      <c r="V83" s="129">
        <f t="shared" si="46"/>
        <v>15</v>
      </c>
      <c r="W83" s="129">
        <f t="shared" si="46"/>
        <v>16</v>
      </c>
      <c r="X83" s="129">
        <f t="shared" si="46"/>
        <v>17</v>
      </c>
      <c r="Y83" s="129">
        <f t="shared" si="46"/>
        <v>18</v>
      </c>
      <c r="Z83" s="129">
        <f t="shared" si="46"/>
        <v>19</v>
      </c>
      <c r="AA83" s="129">
        <f t="shared" si="46"/>
        <v>20</v>
      </c>
      <c r="AB83" s="129">
        <f t="shared" si="46"/>
        <v>21</v>
      </c>
      <c r="AC83" s="129">
        <f t="shared" si="46"/>
        <v>22</v>
      </c>
      <c r="AD83" s="129">
        <f t="shared" si="46"/>
        <v>23</v>
      </c>
      <c r="AE83" s="129">
        <f t="shared" si="46"/>
        <v>24</v>
      </c>
      <c r="AF83" s="129">
        <f t="shared" si="46"/>
        <v>25</v>
      </c>
      <c r="AG83" s="129">
        <f t="shared" si="46"/>
        <v>26</v>
      </c>
      <c r="AH83" s="129">
        <f t="shared" si="46"/>
        <v>27</v>
      </c>
      <c r="AI83" s="129">
        <f t="shared" si="46"/>
        <v>28</v>
      </c>
      <c r="AJ83" s="129">
        <f t="shared" si="46"/>
        <v>29</v>
      </c>
      <c r="AK83" s="129">
        <f t="shared" si="46"/>
        <v>30</v>
      </c>
    </row>
    <row r="84" spans="1:37">
      <c r="B84" s="111" t="s">
        <v>586</v>
      </c>
      <c r="H84" s="117">
        <f t="shared" ref="H84:AK84" ca="1" si="47">H40/$G$12</f>
        <v>40.630000000000003</v>
      </c>
      <c r="I84" s="117">
        <f t="shared" ca="1" si="47"/>
        <v>41.8489</v>
      </c>
      <c r="J84" s="117">
        <f t="shared" ca="1" si="47"/>
        <v>43.104367000000003</v>
      </c>
      <c r="K84" s="117">
        <f t="shared" ca="1" si="47"/>
        <v>44.39749801</v>
      </c>
      <c r="L84" s="117">
        <f t="shared" ca="1" si="47"/>
        <v>45.729422950299998</v>
      </c>
      <c r="M84" s="117">
        <f t="shared" ca="1" si="47"/>
        <v>47.101305638808995</v>
      </c>
      <c r="N84" s="117">
        <f t="shared" ca="1" si="47"/>
        <v>48.514344807973266</v>
      </c>
      <c r="O84" s="117">
        <f t="shared" ca="1" si="47"/>
        <v>49.96977515221247</v>
      </c>
      <c r="P84" s="117">
        <f t="shared" ca="1" si="47"/>
        <v>51.468868406778832</v>
      </c>
      <c r="Q84" s="117">
        <f t="shared" ca="1" si="47"/>
        <v>53.012934458982208</v>
      </c>
      <c r="R84" s="117">
        <f t="shared" ca="1" si="47"/>
        <v>54.603322492751666</v>
      </c>
      <c r="S84" s="117">
        <f t="shared" ca="1" si="47"/>
        <v>56.241422167534218</v>
      </c>
      <c r="T84" s="117">
        <f t="shared" ca="1" si="47"/>
        <v>57.928664832560237</v>
      </c>
      <c r="U84" s="117">
        <f t="shared" ca="1" si="47"/>
        <v>59.666524777537049</v>
      </c>
      <c r="V84" s="117">
        <f t="shared" ca="1" si="47"/>
        <v>61.456520520863158</v>
      </c>
      <c r="W84" s="117">
        <f t="shared" ca="1" si="47"/>
        <v>63.300216136489063</v>
      </c>
      <c r="X84" s="117">
        <f t="shared" ca="1" si="47"/>
        <v>65.199222620583726</v>
      </c>
      <c r="Y84" s="117">
        <f t="shared" ca="1" si="47"/>
        <v>67.155199299201229</v>
      </c>
      <c r="Z84" s="117">
        <f t="shared" ca="1" si="47"/>
        <v>69.16985527817728</v>
      </c>
      <c r="AA84" s="117">
        <f t="shared" ca="1" si="47"/>
        <v>71.244950936522585</v>
      </c>
      <c r="AB84" s="117">
        <f t="shared" ca="1" si="47"/>
        <v>73.382299464618256</v>
      </c>
      <c r="AC84" s="117">
        <f t="shared" ca="1" si="47"/>
        <v>75.583768448556796</v>
      </c>
      <c r="AD84" s="117">
        <f t="shared" ca="1" si="47"/>
        <v>77.851281502013506</v>
      </c>
      <c r="AE84" s="117">
        <f t="shared" ca="1" si="47"/>
        <v>80.186819947073928</v>
      </c>
      <c r="AF84" s="117">
        <f t="shared" ca="1" si="47"/>
        <v>82.592424545486125</v>
      </c>
      <c r="AG84" s="117">
        <f t="shared" ca="1" si="47"/>
        <v>85.07019728185071</v>
      </c>
      <c r="AH84" s="117">
        <f t="shared" ca="1" si="47"/>
        <v>87.622303200306249</v>
      </c>
      <c r="AI84" s="117">
        <f t="shared" ca="1" si="47"/>
        <v>90.250972296315425</v>
      </c>
      <c r="AJ84" s="117">
        <f t="shared" ca="1" si="47"/>
        <v>92.958501465204876</v>
      </c>
      <c r="AK84" s="117">
        <f t="shared" ca="1" si="47"/>
        <v>95.747256509161019</v>
      </c>
    </row>
    <row r="85" spans="1:37">
      <c r="B85" s="111" t="s">
        <v>573</v>
      </c>
      <c r="H85" s="117">
        <f t="shared" ref="H85:AK85" ca="1" si="48">H42/$G$12</f>
        <v>0</v>
      </c>
      <c r="I85" s="117">
        <f t="shared" ca="1" si="48"/>
        <v>0</v>
      </c>
      <c r="J85" s="117">
        <f t="shared" ca="1" si="48"/>
        <v>0</v>
      </c>
      <c r="K85" s="117">
        <f t="shared" ca="1" si="48"/>
        <v>0</v>
      </c>
      <c r="L85" s="117">
        <f t="shared" ca="1" si="48"/>
        <v>0</v>
      </c>
      <c r="M85" s="117">
        <f t="shared" ca="1" si="48"/>
        <v>0</v>
      </c>
      <c r="N85" s="117">
        <f t="shared" ca="1" si="48"/>
        <v>0</v>
      </c>
      <c r="O85" s="117">
        <f t="shared" ca="1" si="48"/>
        <v>0</v>
      </c>
      <c r="P85" s="117">
        <f t="shared" ca="1" si="48"/>
        <v>0</v>
      </c>
      <c r="Q85" s="117">
        <f t="shared" ca="1" si="48"/>
        <v>0</v>
      </c>
      <c r="R85" s="117">
        <f t="shared" ca="1" si="48"/>
        <v>0</v>
      </c>
      <c r="S85" s="117">
        <f t="shared" ca="1" si="48"/>
        <v>0</v>
      </c>
      <c r="T85" s="117">
        <f t="shared" ca="1" si="48"/>
        <v>0</v>
      </c>
      <c r="U85" s="117">
        <f t="shared" ca="1" si="48"/>
        <v>0</v>
      </c>
      <c r="V85" s="117">
        <f t="shared" ca="1" si="48"/>
        <v>0</v>
      </c>
      <c r="W85" s="117">
        <f t="shared" ca="1" si="48"/>
        <v>0</v>
      </c>
      <c r="X85" s="117">
        <f t="shared" ca="1" si="48"/>
        <v>0</v>
      </c>
      <c r="Y85" s="117">
        <f t="shared" ca="1" si="48"/>
        <v>0</v>
      </c>
      <c r="Z85" s="117">
        <f t="shared" ca="1" si="48"/>
        <v>0</v>
      </c>
      <c r="AA85" s="117">
        <f t="shared" ca="1" si="48"/>
        <v>0</v>
      </c>
      <c r="AB85" s="117">
        <f t="shared" ca="1" si="48"/>
        <v>0</v>
      </c>
      <c r="AC85" s="117">
        <f t="shared" ca="1" si="48"/>
        <v>0</v>
      </c>
      <c r="AD85" s="117">
        <f t="shared" ca="1" si="48"/>
        <v>0</v>
      </c>
      <c r="AE85" s="117">
        <f t="shared" ca="1" si="48"/>
        <v>0</v>
      </c>
      <c r="AF85" s="117">
        <f t="shared" ca="1" si="48"/>
        <v>0</v>
      </c>
      <c r="AG85" s="117">
        <f t="shared" ca="1" si="48"/>
        <v>0</v>
      </c>
      <c r="AH85" s="117">
        <f t="shared" ca="1" si="48"/>
        <v>0</v>
      </c>
      <c r="AI85" s="117">
        <f t="shared" ca="1" si="48"/>
        <v>0</v>
      </c>
      <c r="AJ85" s="117">
        <f t="shared" ca="1" si="48"/>
        <v>0</v>
      </c>
      <c r="AK85" s="117">
        <f t="shared" ca="1" si="48"/>
        <v>0</v>
      </c>
    </row>
    <row r="86" spans="1:37">
      <c r="B86" s="111" t="s">
        <v>16</v>
      </c>
      <c r="H86" s="117">
        <f ca="1">H84-H85</f>
        <v>40.630000000000003</v>
      </c>
      <c r="I86" s="117">
        <f t="shared" ref="I86:AK86" ca="1" si="49">I84-I85</f>
        <v>41.8489</v>
      </c>
      <c r="J86" s="117">
        <f t="shared" ca="1" si="49"/>
        <v>43.104367000000003</v>
      </c>
      <c r="K86" s="117">
        <f t="shared" ca="1" si="49"/>
        <v>44.39749801</v>
      </c>
      <c r="L86" s="117">
        <f t="shared" ca="1" si="49"/>
        <v>45.729422950299998</v>
      </c>
      <c r="M86" s="117">
        <f t="shared" ca="1" si="49"/>
        <v>47.101305638808995</v>
      </c>
      <c r="N86" s="117">
        <f t="shared" ca="1" si="49"/>
        <v>48.514344807973266</v>
      </c>
      <c r="O86" s="117">
        <f t="shared" ca="1" si="49"/>
        <v>49.96977515221247</v>
      </c>
      <c r="P86" s="117">
        <f t="shared" ca="1" si="49"/>
        <v>51.468868406778832</v>
      </c>
      <c r="Q86" s="117">
        <f t="shared" ca="1" si="49"/>
        <v>53.012934458982208</v>
      </c>
      <c r="R86" s="117">
        <f t="shared" ca="1" si="49"/>
        <v>54.603322492751666</v>
      </c>
      <c r="S86" s="117">
        <f t="shared" ca="1" si="49"/>
        <v>56.241422167534218</v>
      </c>
      <c r="T86" s="117">
        <f t="shared" ca="1" si="49"/>
        <v>57.928664832560237</v>
      </c>
      <c r="U86" s="117">
        <f t="shared" ca="1" si="49"/>
        <v>59.666524777537049</v>
      </c>
      <c r="V86" s="117">
        <f t="shared" ca="1" si="49"/>
        <v>61.456520520863158</v>
      </c>
      <c r="W86" s="117">
        <f t="shared" ca="1" si="49"/>
        <v>63.300216136489063</v>
      </c>
      <c r="X86" s="117">
        <f t="shared" ca="1" si="49"/>
        <v>65.199222620583726</v>
      </c>
      <c r="Y86" s="117">
        <f t="shared" ca="1" si="49"/>
        <v>67.155199299201229</v>
      </c>
      <c r="Z86" s="117">
        <f t="shared" ca="1" si="49"/>
        <v>69.16985527817728</v>
      </c>
      <c r="AA86" s="117">
        <f t="shared" ca="1" si="49"/>
        <v>71.244950936522585</v>
      </c>
      <c r="AB86" s="117">
        <f t="shared" ca="1" si="49"/>
        <v>73.382299464618256</v>
      </c>
      <c r="AC86" s="117">
        <f t="shared" ca="1" si="49"/>
        <v>75.583768448556796</v>
      </c>
      <c r="AD86" s="117">
        <f t="shared" ca="1" si="49"/>
        <v>77.851281502013506</v>
      </c>
      <c r="AE86" s="117">
        <f t="shared" ca="1" si="49"/>
        <v>80.186819947073928</v>
      </c>
      <c r="AF86" s="117">
        <f t="shared" ca="1" si="49"/>
        <v>82.592424545486125</v>
      </c>
      <c r="AG86" s="117">
        <f t="shared" ca="1" si="49"/>
        <v>85.07019728185071</v>
      </c>
      <c r="AH86" s="117">
        <f t="shared" ca="1" si="49"/>
        <v>87.622303200306249</v>
      </c>
      <c r="AI86" s="117">
        <f t="shared" ca="1" si="49"/>
        <v>90.250972296315425</v>
      </c>
      <c r="AJ86" s="117">
        <f t="shared" ca="1" si="49"/>
        <v>92.958501465204876</v>
      </c>
      <c r="AK86" s="117">
        <f t="shared" ca="1" si="49"/>
        <v>95.747256509161019</v>
      </c>
    </row>
    <row r="87" spans="1:37">
      <c r="B87" s="111" t="s">
        <v>587</v>
      </c>
      <c r="H87" s="130">
        <f>$G$21</f>
        <v>0.06</v>
      </c>
      <c r="I87" s="130">
        <f t="shared" ref="I87:AK87" si="50">$G$21</f>
        <v>0.06</v>
      </c>
      <c r="J87" s="130">
        <f t="shared" si="50"/>
        <v>0.06</v>
      </c>
      <c r="K87" s="130">
        <f t="shared" si="50"/>
        <v>0.06</v>
      </c>
      <c r="L87" s="130">
        <f t="shared" si="50"/>
        <v>0.06</v>
      </c>
      <c r="M87" s="130">
        <f t="shared" si="50"/>
        <v>0.06</v>
      </c>
      <c r="N87" s="130">
        <f t="shared" si="50"/>
        <v>0.06</v>
      </c>
      <c r="O87" s="130">
        <f t="shared" si="50"/>
        <v>0.06</v>
      </c>
      <c r="P87" s="130">
        <f t="shared" si="50"/>
        <v>0.06</v>
      </c>
      <c r="Q87" s="130">
        <f t="shared" si="50"/>
        <v>0.06</v>
      </c>
      <c r="R87" s="130">
        <f t="shared" si="50"/>
        <v>0.06</v>
      </c>
      <c r="S87" s="130">
        <f t="shared" si="50"/>
        <v>0.06</v>
      </c>
      <c r="T87" s="130">
        <f t="shared" si="50"/>
        <v>0.06</v>
      </c>
      <c r="U87" s="130">
        <f t="shared" si="50"/>
        <v>0.06</v>
      </c>
      <c r="V87" s="130">
        <f t="shared" si="50"/>
        <v>0.06</v>
      </c>
      <c r="W87" s="130">
        <f t="shared" si="50"/>
        <v>0.06</v>
      </c>
      <c r="X87" s="130">
        <f t="shared" si="50"/>
        <v>0.06</v>
      </c>
      <c r="Y87" s="130">
        <f t="shared" si="50"/>
        <v>0.06</v>
      </c>
      <c r="Z87" s="130">
        <f t="shared" si="50"/>
        <v>0.06</v>
      </c>
      <c r="AA87" s="130">
        <f t="shared" si="50"/>
        <v>0.06</v>
      </c>
      <c r="AB87" s="130">
        <f t="shared" si="50"/>
        <v>0.06</v>
      </c>
      <c r="AC87" s="130">
        <f t="shared" si="50"/>
        <v>0.06</v>
      </c>
      <c r="AD87" s="130">
        <f t="shared" si="50"/>
        <v>0.06</v>
      </c>
      <c r="AE87" s="130">
        <f t="shared" si="50"/>
        <v>0.06</v>
      </c>
      <c r="AF87" s="130">
        <f t="shared" si="50"/>
        <v>0.06</v>
      </c>
      <c r="AG87" s="130">
        <f t="shared" si="50"/>
        <v>0.06</v>
      </c>
      <c r="AH87" s="130">
        <f t="shared" si="50"/>
        <v>0.06</v>
      </c>
      <c r="AI87" s="130">
        <f t="shared" si="50"/>
        <v>0.06</v>
      </c>
      <c r="AJ87" s="130">
        <f t="shared" si="50"/>
        <v>0.06</v>
      </c>
      <c r="AK87" s="130">
        <f t="shared" si="50"/>
        <v>0.06</v>
      </c>
    </row>
    <row r="88" spans="1:37">
      <c r="B88" s="111" t="s">
        <v>556</v>
      </c>
      <c r="H88" s="117">
        <f ca="1">H86*H87</f>
        <v>2.4378000000000002</v>
      </c>
      <c r="I88" s="117">
        <f t="shared" ref="I88:AK88" ca="1" si="51">I86*I87</f>
        <v>2.5109339999999998</v>
      </c>
      <c r="J88" s="117">
        <f t="shared" ca="1" si="51"/>
        <v>2.5862620199999999</v>
      </c>
      <c r="K88" s="117">
        <f t="shared" ca="1" si="51"/>
        <v>2.6638498805999999</v>
      </c>
      <c r="L88" s="117">
        <f t="shared" ca="1" si="51"/>
        <v>2.7437653770179997</v>
      </c>
      <c r="M88" s="117">
        <f t="shared" ca="1" si="51"/>
        <v>2.8260783383285397</v>
      </c>
      <c r="N88" s="117">
        <f t="shared" ca="1" si="51"/>
        <v>2.9108606884783961</v>
      </c>
      <c r="O88" s="117">
        <f t="shared" ca="1" si="51"/>
        <v>2.998186509132748</v>
      </c>
      <c r="P88" s="117">
        <f t="shared" ca="1" si="51"/>
        <v>3.0881321044067298</v>
      </c>
      <c r="Q88" s="117">
        <f t="shared" ca="1" si="51"/>
        <v>3.1807760675389325</v>
      </c>
      <c r="R88" s="117">
        <f t="shared" ca="1" si="51"/>
        <v>3.2761993495650996</v>
      </c>
      <c r="S88" s="117">
        <f t="shared" ca="1" si="51"/>
        <v>3.3744853300520528</v>
      </c>
      <c r="T88" s="117">
        <f t="shared" ca="1" si="51"/>
        <v>3.4757198899536141</v>
      </c>
      <c r="U88" s="117">
        <f t="shared" ca="1" si="51"/>
        <v>3.5799914866522227</v>
      </c>
      <c r="V88" s="117">
        <f t="shared" ca="1" si="51"/>
        <v>3.6873912312517891</v>
      </c>
      <c r="W88" s="117">
        <f t="shared" ca="1" si="51"/>
        <v>3.7980129681893438</v>
      </c>
      <c r="X88" s="117">
        <f t="shared" ca="1" si="51"/>
        <v>3.9119533572350234</v>
      </c>
      <c r="Y88" s="117">
        <f t="shared" ca="1" si="51"/>
        <v>4.029311957952074</v>
      </c>
      <c r="Z88" s="117">
        <f t="shared" ca="1" si="51"/>
        <v>4.1501913166906368</v>
      </c>
      <c r="AA88" s="117">
        <f t="shared" ca="1" si="51"/>
        <v>4.2746970561913553</v>
      </c>
      <c r="AB88" s="117">
        <f t="shared" ca="1" si="51"/>
        <v>4.4029379678770955</v>
      </c>
      <c r="AC88" s="117">
        <f t="shared" ca="1" si="51"/>
        <v>4.5350261069134072</v>
      </c>
      <c r="AD88" s="117">
        <f t="shared" ca="1" si="51"/>
        <v>4.6710768901208102</v>
      </c>
      <c r="AE88" s="117">
        <f t="shared" ca="1" si="51"/>
        <v>4.8112091968244357</v>
      </c>
      <c r="AF88" s="117">
        <f t="shared" ca="1" si="51"/>
        <v>4.9555454727291677</v>
      </c>
      <c r="AG88" s="117">
        <f t="shared" ca="1" si="51"/>
        <v>5.1042118369110421</v>
      </c>
      <c r="AH88" s="117">
        <f t="shared" ca="1" si="51"/>
        <v>5.2573381920183744</v>
      </c>
      <c r="AI88" s="117">
        <f t="shared" ca="1" si="51"/>
        <v>5.415058337778925</v>
      </c>
      <c r="AJ88" s="117">
        <f t="shared" ca="1" si="51"/>
        <v>5.5775100879122927</v>
      </c>
      <c r="AK88" s="117">
        <f t="shared" ca="1" si="51"/>
        <v>5.7448353905496612</v>
      </c>
    </row>
    <row r="90" spans="1:37">
      <c r="A90" s="111" t="s">
        <v>472</v>
      </c>
      <c r="B90" s="265" t="s">
        <v>588</v>
      </c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6"/>
      <c r="Q90" s="265"/>
      <c r="R90" s="265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</row>
    <row r="91" spans="1:37">
      <c r="F91" s="698" t="s">
        <v>589</v>
      </c>
      <c r="G91" s="698"/>
      <c r="H91" s="698"/>
      <c r="I91" s="698"/>
      <c r="J91" s="698"/>
    </row>
    <row r="92" spans="1:37">
      <c r="E92" s="143">
        <f ca="1">G80</f>
        <v>0.22126737323433288</v>
      </c>
      <c r="F92" s="175">
        <v>3</v>
      </c>
      <c r="G92" s="175">
        <v>4</v>
      </c>
      <c r="H92" s="175">
        <v>5</v>
      </c>
      <c r="I92" s="175">
        <v>6</v>
      </c>
      <c r="J92" s="175">
        <v>7</v>
      </c>
    </row>
    <row r="93" spans="1:37">
      <c r="C93" s="699" t="s">
        <v>390</v>
      </c>
      <c r="D93" s="699"/>
      <c r="E93" s="144">
        <v>0.05</v>
      </c>
      <c r="F93" s="145">
        <f t="dataTable" ref="F93:J97" dt2D="1" dtr="1" r1="G25" r2="G23" ca="1"/>
        <v>0.63842037814550778</v>
      </c>
      <c r="G93" s="146">
        <v>0.48087893044708419</v>
      </c>
      <c r="H93" s="146">
        <v>0.39734924493892532</v>
      </c>
      <c r="I93" s="146">
        <v>0.34580796174174422</v>
      </c>
      <c r="J93" s="147">
        <v>0.31091470437731039</v>
      </c>
    </row>
    <row r="94" spans="1:37">
      <c r="C94" s="699"/>
      <c r="D94" s="699"/>
      <c r="E94" s="144">
        <v>5.2499999999999998E-2</v>
      </c>
      <c r="F94" s="148">
        <v>0.60037556419641613</v>
      </c>
      <c r="G94" s="145">
        <v>0.45687287896775408</v>
      </c>
      <c r="H94" s="146">
        <v>0.38037579156479207</v>
      </c>
      <c r="I94" s="147">
        <v>0.33299999682426118</v>
      </c>
      <c r="J94" s="149">
        <v>0.30083768808334321</v>
      </c>
    </row>
    <row r="95" spans="1:37">
      <c r="C95" s="699"/>
      <c r="D95" s="699"/>
      <c r="E95" s="144">
        <v>5.5E-2</v>
      </c>
      <c r="F95" s="148">
        <v>0.56428037513229579</v>
      </c>
      <c r="G95" s="148">
        <v>0.43401526805516122</v>
      </c>
      <c r="H95" s="150">
        <v>0.36419518826963726</v>
      </c>
      <c r="I95" s="149">
        <v>0.32078995712434422</v>
      </c>
      <c r="J95" s="149">
        <v>0.29123681703393567</v>
      </c>
      <c r="K95" s="128"/>
    </row>
    <row r="96" spans="1:37">
      <c r="C96" s="699"/>
      <c r="D96" s="699"/>
      <c r="E96" s="144">
        <v>5.7500000000000002E-2</v>
      </c>
      <c r="F96" s="148">
        <v>0.5299284512553295</v>
      </c>
      <c r="G96" s="151">
        <v>0.41218782514923813</v>
      </c>
      <c r="H96" s="152">
        <v>0.3487276330622473</v>
      </c>
      <c r="I96" s="153">
        <v>0.30911881631000493</v>
      </c>
      <c r="J96" s="149">
        <v>0.28206581706093248</v>
      </c>
    </row>
    <row r="97" spans="3:10">
      <c r="C97" s="699"/>
      <c r="D97" s="699"/>
      <c r="E97" s="144">
        <v>0.06</v>
      </c>
      <c r="F97" s="151">
        <v>0.49714201119680035</v>
      </c>
      <c r="G97" s="152">
        <v>0.39128830848461615</v>
      </c>
      <c r="H97" s="152">
        <v>0.3339040345656743</v>
      </c>
      <c r="I97" s="152">
        <v>0.29793543246769105</v>
      </c>
      <c r="J97" s="153">
        <v>0.27328457888446533</v>
      </c>
    </row>
  </sheetData>
  <mergeCells count="2">
    <mergeCell ref="F91:J91"/>
    <mergeCell ref="C93:D97"/>
  </mergeCells>
  <conditionalFormatting sqref="F93:J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2B34F-75E4-4759-A544-CD06F77B3EEC}">
  <sheetPr>
    <tabColor rgb="FFFFC000"/>
  </sheetPr>
  <dimension ref="A2:AK98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75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P2" s="565"/>
    </row>
    <row r="3" spans="1:19">
      <c r="P3" s="565"/>
    </row>
    <row r="4" spans="1:19">
      <c r="P4" s="565"/>
    </row>
    <row r="5" spans="1:19">
      <c r="P5" s="565"/>
    </row>
    <row r="6" spans="1:19">
      <c r="P6" s="565"/>
    </row>
    <row r="7" spans="1:19">
      <c r="P7" s="565"/>
    </row>
    <row r="8" spans="1:19">
      <c r="B8" s="445" t="s">
        <v>762</v>
      </c>
      <c r="P8" s="420"/>
    </row>
    <row r="9" spans="1:19" ht="15.6">
      <c r="B9" s="446" t="s">
        <v>763</v>
      </c>
      <c r="P9" s="420"/>
    </row>
    <row r="11" spans="1:19">
      <c r="A11" s="111" t="s">
        <v>472</v>
      </c>
      <c r="B11" s="265" t="s">
        <v>473</v>
      </c>
      <c r="C11" s="265"/>
      <c r="D11" s="265"/>
      <c r="E11" s="265"/>
      <c r="F11" s="265"/>
      <c r="G11" s="265"/>
      <c r="H11" s="265"/>
      <c r="I11" s="114"/>
      <c r="J11" s="265" t="s">
        <v>449</v>
      </c>
      <c r="K11" s="265"/>
      <c r="L11" s="265"/>
      <c r="M11" s="165"/>
      <c r="N11" s="265" t="s">
        <v>616</v>
      </c>
      <c r="O11" s="265"/>
      <c r="P11" s="265"/>
      <c r="Q11" s="265"/>
      <c r="R11" s="265"/>
    </row>
    <row r="12" spans="1:19">
      <c r="B12" s="111" t="s">
        <v>557</v>
      </c>
      <c r="G12" s="348">
        <f>'Area Matrix'!D46</f>
        <v>158707.99999999997</v>
      </c>
      <c r="J12" s="111" t="s">
        <v>591</v>
      </c>
      <c r="L12" s="157">
        <f ca="1">SUM('Area Matrix'!D61,'Area Matrix'!H61,'Area Matrix'!L61,'Area Matrix'!P61,'Area Matrix'!T61)</f>
        <v>45941155.991704263</v>
      </c>
      <c r="M12" s="167"/>
      <c r="N12" s="111" t="s">
        <v>609</v>
      </c>
      <c r="P12" s="166"/>
      <c r="Q12" s="175"/>
      <c r="R12" s="597">
        <f>H45/H39</f>
        <v>130.00000000000003</v>
      </c>
    </row>
    <row r="13" spans="1:19">
      <c r="J13" s="118" t="s">
        <v>507</v>
      </c>
      <c r="L13" s="157">
        <f ca="1">L12*G26</f>
        <v>0</v>
      </c>
      <c r="M13" s="167"/>
      <c r="N13" s="169" t="s">
        <v>607</v>
      </c>
      <c r="P13" s="166"/>
      <c r="Q13" s="175"/>
      <c r="R13" s="597">
        <v>27.384184279748244</v>
      </c>
      <c r="S13" s="119"/>
    </row>
    <row r="14" spans="1:19">
      <c r="B14" s="265" t="s">
        <v>606</v>
      </c>
      <c r="C14" s="265"/>
      <c r="D14" s="265"/>
      <c r="E14" s="265"/>
      <c r="F14" s="265"/>
      <c r="G14" s="265"/>
      <c r="H14" s="265"/>
      <c r="I14" s="114"/>
      <c r="J14" s="123" t="s">
        <v>453</v>
      </c>
      <c r="K14" s="120"/>
      <c r="L14" s="121">
        <f ca="1">SUM(L12:L13)</f>
        <v>45941155.991704263</v>
      </c>
      <c r="M14" s="166"/>
      <c r="N14" s="169" t="s">
        <v>608</v>
      </c>
      <c r="P14" s="166"/>
      <c r="Q14" s="175"/>
      <c r="R14" s="597">
        <v>11.341258467286163</v>
      </c>
      <c r="S14" s="124"/>
    </row>
    <row r="15" spans="1:19">
      <c r="B15" s="111" t="s">
        <v>592</v>
      </c>
      <c r="G15" s="598">
        <f>ROUNDDOWN(G12/G16,0)</f>
        <v>317</v>
      </c>
      <c r="J15" s="175"/>
      <c r="M15" s="167"/>
      <c r="N15" s="169"/>
      <c r="P15" s="166"/>
      <c r="Q15" s="175"/>
      <c r="R15" s="600"/>
    </row>
    <row r="16" spans="1:19">
      <c r="B16" s="346" t="s">
        <v>700</v>
      </c>
      <c r="G16" s="599">
        <v>500</v>
      </c>
      <c r="J16" s="265" t="s">
        <v>499</v>
      </c>
      <c r="K16" s="265"/>
      <c r="L16" s="265"/>
      <c r="M16" s="167"/>
      <c r="N16" s="169" t="s">
        <v>610</v>
      </c>
      <c r="P16" s="166"/>
      <c r="Q16" s="175"/>
      <c r="R16" s="597">
        <v>40.301831789999994</v>
      </c>
    </row>
    <row r="17" spans="2:18">
      <c r="B17" s="111" t="s">
        <v>597</v>
      </c>
      <c r="G17" s="597">
        <v>130</v>
      </c>
      <c r="H17" s="111" t="s">
        <v>562</v>
      </c>
      <c r="J17" s="118" t="s">
        <v>478</v>
      </c>
      <c r="L17" s="116">
        <f ca="1">G32</f>
        <v>32158809.194192983</v>
      </c>
      <c r="M17" s="167"/>
      <c r="N17" s="169" t="s">
        <v>611</v>
      </c>
      <c r="P17" s="166"/>
      <c r="Q17" s="175"/>
      <c r="R17" s="597">
        <v>20.784065939999994</v>
      </c>
    </row>
    <row r="18" spans="2:18">
      <c r="B18" s="111" t="s">
        <v>594</v>
      </c>
      <c r="G18" s="578">
        <v>0.03</v>
      </c>
      <c r="H18" s="111" t="s">
        <v>564</v>
      </c>
      <c r="J18" s="118" t="s">
        <v>28</v>
      </c>
      <c r="L18" s="116">
        <f ca="1">L19-L17</f>
        <v>13782346.79751128</v>
      </c>
      <c r="M18" s="167"/>
      <c r="N18" s="169" t="s">
        <v>612</v>
      </c>
      <c r="P18" s="166"/>
      <c r="Q18" s="175"/>
      <c r="R18" s="597">
        <v>2.2709679299999994</v>
      </c>
    </row>
    <row r="19" spans="2:18">
      <c r="B19" s="111" t="s">
        <v>596</v>
      </c>
      <c r="G19" s="578">
        <v>0.7</v>
      </c>
      <c r="J19" s="123" t="s">
        <v>458</v>
      </c>
      <c r="K19" s="120"/>
      <c r="L19" s="121">
        <f ca="1">L14</f>
        <v>45941155.991704263</v>
      </c>
      <c r="M19" s="167"/>
      <c r="N19" s="168"/>
      <c r="P19" s="166"/>
      <c r="Q19" s="175"/>
    </row>
    <row r="20" spans="2:18">
      <c r="B20" s="111" t="s">
        <v>523</v>
      </c>
      <c r="G20" s="578">
        <v>0.03</v>
      </c>
      <c r="J20" s="175"/>
      <c r="M20" s="166"/>
      <c r="N20" s="265" t="s">
        <v>624</v>
      </c>
      <c r="O20" s="265"/>
      <c r="P20" s="265"/>
      <c r="Q20" s="265"/>
      <c r="R20" s="265"/>
    </row>
    <row r="21" spans="2:18">
      <c r="B21" s="111" t="s">
        <v>600</v>
      </c>
      <c r="G21" s="599">
        <v>365</v>
      </c>
      <c r="J21" s="111" t="s">
        <v>394</v>
      </c>
      <c r="L21" s="127">
        <v>0.08</v>
      </c>
      <c r="M21" s="167"/>
      <c r="N21" s="111" t="s">
        <v>618</v>
      </c>
      <c r="P21" s="166"/>
      <c r="Q21" s="175"/>
      <c r="R21" s="597">
        <v>18.031694669999997</v>
      </c>
    </row>
    <row r="22" spans="2:18">
      <c r="B22" s="111" t="s">
        <v>566</v>
      </c>
      <c r="G22" s="578">
        <v>0.02</v>
      </c>
      <c r="N22" s="111" t="s">
        <v>619</v>
      </c>
      <c r="P22" s="111"/>
      <c r="Q22" s="175"/>
      <c r="R22" s="597">
        <v>14.494426649999998</v>
      </c>
    </row>
    <row r="23" spans="2:18">
      <c r="B23" s="111" t="s">
        <v>389</v>
      </c>
      <c r="G23" s="579">
        <v>7.2999999999999995E-2</v>
      </c>
      <c r="N23" s="111" t="s">
        <v>620</v>
      </c>
      <c r="P23" s="111"/>
      <c r="Q23" s="175"/>
      <c r="R23" s="597">
        <v>2.5012043099999999</v>
      </c>
    </row>
    <row r="24" spans="2:18">
      <c r="B24" s="111" t="s">
        <v>390</v>
      </c>
      <c r="G24" s="579">
        <v>7.0000000000000007E-2</v>
      </c>
      <c r="N24" s="111" t="s">
        <v>621</v>
      </c>
      <c r="P24" s="111"/>
      <c r="Q24" s="175"/>
      <c r="R24" s="597">
        <v>7.9326898199999984</v>
      </c>
    </row>
    <row r="25" spans="2:18">
      <c r="B25" s="111" t="s">
        <v>391</v>
      </c>
      <c r="G25" s="156">
        <v>10</v>
      </c>
      <c r="H25" s="111" t="s">
        <v>560</v>
      </c>
      <c r="M25" s="116"/>
      <c r="N25" s="111" t="s">
        <v>36</v>
      </c>
      <c r="P25" s="111"/>
      <c r="Q25" s="175"/>
      <c r="R25" s="597">
        <v>5.3268326099999985</v>
      </c>
    </row>
    <row r="26" spans="2:18">
      <c r="B26" s="111" t="s">
        <v>393</v>
      </c>
      <c r="G26" s="578">
        <v>0</v>
      </c>
      <c r="J26" s="128"/>
      <c r="M26" s="116"/>
      <c r="N26" s="111" t="s">
        <v>622</v>
      </c>
      <c r="P26" s="111"/>
      <c r="Q26" s="175"/>
      <c r="R26" s="597">
        <v>2.7733018499999993</v>
      </c>
    </row>
    <row r="27" spans="2:18">
      <c r="J27" s="128"/>
      <c r="N27" s="175"/>
    </row>
    <row r="28" spans="2:18">
      <c r="B28" s="265" t="s">
        <v>576</v>
      </c>
      <c r="C28" s="265"/>
      <c r="D28" s="265"/>
      <c r="E28" s="265"/>
      <c r="F28" s="265"/>
      <c r="G28" s="265"/>
      <c r="H28" s="265"/>
      <c r="I28" s="114"/>
      <c r="N28" s="175"/>
    </row>
    <row r="29" spans="2:18">
      <c r="B29" s="111" t="s">
        <v>577</v>
      </c>
      <c r="G29" s="127">
        <v>0.7</v>
      </c>
      <c r="H29" s="111" t="s">
        <v>578</v>
      </c>
      <c r="J29" s="124"/>
      <c r="N29" s="175"/>
    </row>
    <row r="30" spans="2:18">
      <c r="B30" s="111" t="s">
        <v>460</v>
      </c>
      <c r="G30" s="127">
        <v>0.05</v>
      </c>
      <c r="J30" s="124"/>
    </row>
    <row r="31" spans="2:18">
      <c r="B31" s="111" t="s">
        <v>540</v>
      </c>
      <c r="G31" s="111">
        <v>30</v>
      </c>
      <c r="H31" s="111" t="s">
        <v>579</v>
      </c>
    </row>
    <row r="32" spans="2:18">
      <c r="B32" s="111" t="s">
        <v>580</v>
      </c>
      <c r="G32" s="116">
        <f ca="1">G29*L14</f>
        <v>32158809.194192983</v>
      </c>
    </row>
    <row r="33" spans="1:37">
      <c r="B33" s="111" t="s">
        <v>581</v>
      </c>
      <c r="G33" s="116">
        <f ca="1">PMT(G30/12,G31*12,G32)</f>
        <v>-172635.44145764376</v>
      </c>
    </row>
    <row r="35" spans="1:37">
      <c r="A35" s="111" t="s">
        <v>472</v>
      </c>
      <c r="B35" s="265" t="s">
        <v>513</v>
      </c>
      <c r="C35" s="265"/>
      <c r="D35" s="265"/>
      <c r="E35" s="265"/>
      <c r="F35" s="265"/>
      <c r="G35" s="267">
        <v>0</v>
      </c>
      <c r="H35" s="267">
        <f>G35+1</f>
        <v>1</v>
      </c>
      <c r="I35" s="267">
        <f t="shared" ref="I35:AK35" si="0">H35+1</f>
        <v>2</v>
      </c>
      <c r="J35" s="267">
        <f t="shared" si="0"/>
        <v>3</v>
      </c>
      <c r="K35" s="267">
        <f t="shared" si="0"/>
        <v>4</v>
      </c>
      <c r="L35" s="267">
        <f t="shared" si="0"/>
        <v>5</v>
      </c>
      <c r="M35" s="267">
        <f t="shared" si="0"/>
        <v>6</v>
      </c>
      <c r="N35" s="267">
        <f t="shared" si="0"/>
        <v>7</v>
      </c>
      <c r="O35" s="267">
        <f t="shared" si="0"/>
        <v>8</v>
      </c>
      <c r="P35" s="267">
        <f t="shared" si="0"/>
        <v>9</v>
      </c>
      <c r="Q35" s="267">
        <f t="shared" si="0"/>
        <v>10</v>
      </c>
      <c r="R35" s="267">
        <f t="shared" si="0"/>
        <v>11</v>
      </c>
      <c r="S35" s="129">
        <f t="shared" si="0"/>
        <v>12</v>
      </c>
      <c r="T35" s="129">
        <f t="shared" si="0"/>
        <v>13</v>
      </c>
      <c r="U35" s="129">
        <f t="shared" si="0"/>
        <v>14</v>
      </c>
      <c r="V35" s="129">
        <f t="shared" si="0"/>
        <v>15</v>
      </c>
      <c r="W35" s="129">
        <f t="shared" si="0"/>
        <v>16</v>
      </c>
      <c r="X35" s="129">
        <f t="shared" si="0"/>
        <v>17</v>
      </c>
      <c r="Y35" s="129">
        <f t="shared" si="0"/>
        <v>18</v>
      </c>
      <c r="Z35" s="129">
        <f t="shared" si="0"/>
        <v>19</v>
      </c>
      <c r="AA35" s="129">
        <f t="shared" si="0"/>
        <v>20</v>
      </c>
      <c r="AB35" s="129">
        <f t="shared" si="0"/>
        <v>21</v>
      </c>
      <c r="AC35" s="129">
        <f t="shared" si="0"/>
        <v>22</v>
      </c>
      <c r="AD35" s="129">
        <f t="shared" si="0"/>
        <v>23</v>
      </c>
      <c r="AE35" s="129">
        <f t="shared" si="0"/>
        <v>24</v>
      </c>
      <c r="AF35" s="129">
        <f t="shared" si="0"/>
        <v>25</v>
      </c>
      <c r="AG35" s="129">
        <f t="shared" si="0"/>
        <v>26</v>
      </c>
      <c r="AH35" s="129">
        <f t="shared" si="0"/>
        <v>27</v>
      </c>
      <c r="AI35" s="129">
        <f t="shared" si="0"/>
        <v>28</v>
      </c>
      <c r="AJ35" s="129">
        <f t="shared" si="0"/>
        <v>29</v>
      </c>
      <c r="AK35" s="129">
        <f t="shared" si="0"/>
        <v>30</v>
      </c>
    </row>
    <row r="36" spans="1:37">
      <c r="B36" s="111" t="s">
        <v>595</v>
      </c>
      <c r="G36" s="116">
        <f ca="1">-L14</f>
        <v>-45941155.991704263</v>
      </c>
    </row>
    <row r="37" spans="1:37">
      <c r="I37" s="131"/>
    </row>
    <row r="38" spans="1:37">
      <c r="B38" s="111" t="s">
        <v>598</v>
      </c>
      <c r="H38" s="160">
        <f>$G$15</f>
        <v>317</v>
      </c>
      <c r="I38" s="160">
        <f t="shared" ref="I38:AK38" si="1">$G$15</f>
        <v>317</v>
      </c>
      <c r="J38" s="160">
        <f t="shared" si="1"/>
        <v>317</v>
      </c>
      <c r="K38" s="160">
        <f t="shared" si="1"/>
        <v>317</v>
      </c>
      <c r="L38" s="160">
        <f t="shared" si="1"/>
        <v>317</v>
      </c>
      <c r="M38" s="160">
        <f t="shared" si="1"/>
        <v>317</v>
      </c>
      <c r="N38" s="160">
        <f t="shared" si="1"/>
        <v>317</v>
      </c>
      <c r="O38" s="160">
        <f t="shared" si="1"/>
        <v>317</v>
      </c>
      <c r="P38" s="160">
        <f t="shared" si="1"/>
        <v>317</v>
      </c>
      <c r="Q38" s="160">
        <f t="shared" si="1"/>
        <v>317</v>
      </c>
      <c r="R38" s="160">
        <f t="shared" si="1"/>
        <v>317</v>
      </c>
      <c r="S38" s="160">
        <f t="shared" si="1"/>
        <v>317</v>
      </c>
      <c r="T38" s="160">
        <f t="shared" si="1"/>
        <v>317</v>
      </c>
      <c r="U38" s="160">
        <f t="shared" si="1"/>
        <v>317</v>
      </c>
      <c r="V38" s="160">
        <f t="shared" si="1"/>
        <v>317</v>
      </c>
      <c r="W38" s="160">
        <f t="shared" si="1"/>
        <v>317</v>
      </c>
      <c r="X38" s="160">
        <f t="shared" si="1"/>
        <v>317</v>
      </c>
      <c r="Y38" s="160">
        <f t="shared" si="1"/>
        <v>317</v>
      </c>
      <c r="Z38" s="160">
        <f t="shared" si="1"/>
        <v>317</v>
      </c>
      <c r="AA38" s="160">
        <f t="shared" si="1"/>
        <v>317</v>
      </c>
      <c r="AB38" s="160">
        <f t="shared" si="1"/>
        <v>317</v>
      </c>
      <c r="AC38" s="160">
        <f t="shared" si="1"/>
        <v>317</v>
      </c>
      <c r="AD38" s="160">
        <f t="shared" si="1"/>
        <v>317</v>
      </c>
      <c r="AE38" s="160">
        <f t="shared" si="1"/>
        <v>317</v>
      </c>
      <c r="AF38" s="160">
        <f t="shared" si="1"/>
        <v>317</v>
      </c>
      <c r="AG38" s="160">
        <f t="shared" si="1"/>
        <v>317</v>
      </c>
      <c r="AH38" s="160">
        <f t="shared" si="1"/>
        <v>317</v>
      </c>
      <c r="AI38" s="160">
        <f t="shared" si="1"/>
        <v>317</v>
      </c>
      <c r="AJ38" s="160">
        <f t="shared" si="1"/>
        <v>317</v>
      </c>
      <c r="AK38" s="160">
        <f t="shared" si="1"/>
        <v>317</v>
      </c>
    </row>
    <row r="39" spans="1:37">
      <c r="B39" s="111" t="s">
        <v>602</v>
      </c>
      <c r="H39" s="162">
        <f t="shared" ref="H39:AK39" si="2">H38*H42*$G$21</f>
        <v>80993.499999999985</v>
      </c>
      <c r="I39" s="162">
        <f t="shared" si="2"/>
        <v>80993.499999999985</v>
      </c>
      <c r="J39" s="162">
        <f t="shared" si="2"/>
        <v>80993.499999999985</v>
      </c>
      <c r="K39" s="162">
        <f t="shared" si="2"/>
        <v>80993.499999999985</v>
      </c>
      <c r="L39" s="162">
        <f t="shared" si="2"/>
        <v>80993.499999999985</v>
      </c>
      <c r="M39" s="162">
        <f t="shared" si="2"/>
        <v>80993.499999999985</v>
      </c>
      <c r="N39" s="162">
        <f t="shared" si="2"/>
        <v>80993.499999999985</v>
      </c>
      <c r="O39" s="162">
        <f t="shared" si="2"/>
        <v>80993.499999999985</v>
      </c>
      <c r="P39" s="162">
        <f t="shared" si="2"/>
        <v>80993.499999999985</v>
      </c>
      <c r="Q39" s="162">
        <f t="shared" si="2"/>
        <v>80993.499999999985</v>
      </c>
      <c r="R39" s="162">
        <f t="shared" si="2"/>
        <v>80993.499999999985</v>
      </c>
      <c r="S39" s="162">
        <f t="shared" si="2"/>
        <v>80993.499999999985</v>
      </c>
      <c r="T39" s="162">
        <f t="shared" si="2"/>
        <v>80993.499999999985</v>
      </c>
      <c r="U39" s="162">
        <f t="shared" si="2"/>
        <v>80993.499999999985</v>
      </c>
      <c r="V39" s="162">
        <f t="shared" si="2"/>
        <v>80993.499999999985</v>
      </c>
      <c r="W39" s="162">
        <f t="shared" si="2"/>
        <v>80993.499999999985</v>
      </c>
      <c r="X39" s="162">
        <f t="shared" si="2"/>
        <v>80993.499999999985</v>
      </c>
      <c r="Y39" s="162">
        <f t="shared" si="2"/>
        <v>80993.499999999985</v>
      </c>
      <c r="Z39" s="162">
        <f t="shared" si="2"/>
        <v>80993.499999999985</v>
      </c>
      <c r="AA39" s="162">
        <f t="shared" si="2"/>
        <v>80993.499999999985</v>
      </c>
      <c r="AB39" s="162">
        <f t="shared" si="2"/>
        <v>80993.499999999985</v>
      </c>
      <c r="AC39" s="162">
        <f t="shared" si="2"/>
        <v>80993.499999999985</v>
      </c>
      <c r="AD39" s="162">
        <f t="shared" si="2"/>
        <v>80993.499999999985</v>
      </c>
      <c r="AE39" s="162">
        <f t="shared" si="2"/>
        <v>80993.499999999985</v>
      </c>
      <c r="AF39" s="162">
        <f t="shared" si="2"/>
        <v>80993.499999999985</v>
      </c>
      <c r="AG39" s="162">
        <f t="shared" si="2"/>
        <v>80993.499999999985</v>
      </c>
      <c r="AH39" s="162">
        <f t="shared" si="2"/>
        <v>80993.499999999985</v>
      </c>
      <c r="AI39" s="162">
        <f t="shared" si="2"/>
        <v>80993.499999999985</v>
      </c>
      <c r="AJ39" s="162">
        <f t="shared" si="2"/>
        <v>80993.499999999985</v>
      </c>
      <c r="AK39" s="162">
        <f t="shared" si="2"/>
        <v>80993.499999999985</v>
      </c>
    </row>
    <row r="40" spans="1:37">
      <c r="B40" s="111" t="s">
        <v>599</v>
      </c>
      <c r="H40" s="162">
        <f t="shared" ref="H40:AK40" si="3">H38*$G$21</f>
        <v>115705</v>
      </c>
      <c r="I40" s="162">
        <f t="shared" si="3"/>
        <v>115705</v>
      </c>
      <c r="J40" s="162">
        <f t="shared" si="3"/>
        <v>115705</v>
      </c>
      <c r="K40" s="162">
        <f t="shared" si="3"/>
        <v>115705</v>
      </c>
      <c r="L40" s="162">
        <f t="shared" si="3"/>
        <v>115705</v>
      </c>
      <c r="M40" s="162">
        <f t="shared" si="3"/>
        <v>115705</v>
      </c>
      <c r="N40" s="162">
        <f t="shared" si="3"/>
        <v>115705</v>
      </c>
      <c r="O40" s="162">
        <f t="shared" si="3"/>
        <v>115705</v>
      </c>
      <c r="P40" s="162">
        <f t="shared" si="3"/>
        <v>115705</v>
      </c>
      <c r="Q40" s="162">
        <f t="shared" si="3"/>
        <v>115705</v>
      </c>
      <c r="R40" s="162">
        <f t="shared" si="3"/>
        <v>115705</v>
      </c>
      <c r="S40" s="162">
        <f t="shared" si="3"/>
        <v>115705</v>
      </c>
      <c r="T40" s="162">
        <f t="shared" si="3"/>
        <v>115705</v>
      </c>
      <c r="U40" s="162">
        <f t="shared" si="3"/>
        <v>115705</v>
      </c>
      <c r="V40" s="162">
        <f t="shared" si="3"/>
        <v>115705</v>
      </c>
      <c r="W40" s="162">
        <f t="shared" si="3"/>
        <v>115705</v>
      </c>
      <c r="X40" s="162">
        <f t="shared" si="3"/>
        <v>115705</v>
      </c>
      <c r="Y40" s="162">
        <f t="shared" si="3"/>
        <v>115705</v>
      </c>
      <c r="Z40" s="162">
        <f t="shared" si="3"/>
        <v>115705</v>
      </c>
      <c r="AA40" s="162">
        <f t="shared" si="3"/>
        <v>115705</v>
      </c>
      <c r="AB40" s="162">
        <f t="shared" si="3"/>
        <v>115705</v>
      </c>
      <c r="AC40" s="162">
        <f t="shared" si="3"/>
        <v>115705</v>
      </c>
      <c r="AD40" s="162">
        <f t="shared" si="3"/>
        <v>115705</v>
      </c>
      <c r="AE40" s="162">
        <f t="shared" si="3"/>
        <v>115705</v>
      </c>
      <c r="AF40" s="162">
        <f t="shared" si="3"/>
        <v>115705</v>
      </c>
      <c r="AG40" s="162">
        <f t="shared" si="3"/>
        <v>115705</v>
      </c>
      <c r="AH40" s="162">
        <f t="shared" si="3"/>
        <v>115705</v>
      </c>
      <c r="AI40" s="162">
        <f t="shared" si="3"/>
        <v>115705</v>
      </c>
      <c r="AJ40" s="162">
        <f t="shared" si="3"/>
        <v>115705</v>
      </c>
      <c r="AK40" s="162">
        <f t="shared" si="3"/>
        <v>115705</v>
      </c>
    </row>
    <row r="41" spans="1:37">
      <c r="B41" s="111" t="s">
        <v>593</v>
      </c>
      <c r="H41" s="116">
        <f t="shared" ref="H41:AK41" si="4">$G$17*((1+$G$18)^G35)</f>
        <v>130</v>
      </c>
      <c r="I41" s="116">
        <f t="shared" si="4"/>
        <v>133.9</v>
      </c>
      <c r="J41" s="116">
        <f t="shared" si="4"/>
        <v>137.917</v>
      </c>
      <c r="K41" s="116">
        <f t="shared" si="4"/>
        <v>142.05450999999999</v>
      </c>
      <c r="L41" s="116">
        <f t="shared" si="4"/>
        <v>146.31614529999999</v>
      </c>
      <c r="M41" s="116">
        <f t="shared" si="4"/>
        <v>150.70562965899998</v>
      </c>
      <c r="N41" s="116">
        <f t="shared" si="4"/>
        <v>155.22679854876998</v>
      </c>
      <c r="O41" s="116">
        <f t="shared" si="4"/>
        <v>159.88360250523309</v>
      </c>
      <c r="P41" s="116">
        <f t="shared" si="4"/>
        <v>164.68011058039008</v>
      </c>
      <c r="Q41" s="116">
        <f t="shared" si="4"/>
        <v>169.62051389780177</v>
      </c>
      <c r="R41" s="116">
        <f t="shared" si="4"/>
        <v>174.70912931473583</v>
      </c>
      <c r="S41" s="116">
        <f t="shared" si="4"/>
        <v>179.95040319417791</v>
      </c>
      <c r="T41" s="116">
        <f t="shared" si="4"/>
        <v>185.34891529000322</v>
      </c>
      <c r="U41" s="116">
        <f t="shared" si="4"/>
        <v>190.90938274870331</v>
      </c>
      <c r="V41" s="116">
        <f t="shared" si="4"/>
        <v>196.63666423116442</v>
      </c>
      <c r="W41" s="116">
        <f t="shared" si="4"/>
        <v>202.53576415809937</v>
      </c>
      <c r="X41" s="116">
        <f t="shared" si="4"/>
        <v>208.61183708284233</v>
      </c>
      <c r="Y41" s="116">
        <f t="shared" si="4"/>
        <v>214.87019219532758</v>
      </c>
      <c r="Z41" s="116">
        <f t="shared" si="4"/>
        <v>221.31629796118742</v>
      </c>
      <c r="AA41" s="116">
        <f t="shared" si="4"/>
        <v>227.95578690002304</v>
      </c>
      <c r="AB41" s="116">
        <f t="shared" si="4"/>
        <v>234.79446050702373</v>
      </c>
      <c r="AC41" s="116">
        <f t="shared" si="4"/>
        <v>241.83829432223439</v>
      </c>
      <c r="AD41" s="116">
        <f t="shared" si="4"/>
        <v>249.09344315190145</v>
      </c>
      <c r="AE41" s="116">
        <f t="shared" si="4"/>
        <v>256.56624644645854</v>
      </c>
      <c r="AF41" s="116">
        <f t="shared" si="4"/>
        <v>264.26323383985226</v>
      </c>
      <c r="AG41" s="116">
        <f t="shared" si="4"/>
        <v>272.19113085504779</v>
      </c>
      <c r="AH41" s="116">
        <f t="shared" si="4"/>
        <v>280.35686478069925</v>
      </c>
      <c r="AI41" s="116">
        <f t="shared" si="4"/>
        <v>288.76757072412022</v>
      </c>
      <c r="AJ41" s="116">
        <f t="shared" si="4"/>
        <v>297.43059784584381</v>
      </c>
      <c r="AK41" s="116">
        <f t="shared" si="4"/>
        <v>306.35351578121913</v>
      </c>
    </row>
    <row r="42" spans="1:37">
      <c r="B42" s="111" t="s">
        <v>412</v>
      </c>
      <c r="H42" s="161">
        <f t="shared" ref="H42:AK42" si="5">$G$19</f>
        <v>0.7</v>
      </c>
      <c r="I42" s="161">
        <f t="shared" si="5"/>
        <v>0.7</v>
      </c>
      <c r="J42" s="161">
        <f t="shared" si="5"/>
        <v>0.7</v>
      </c>
      <c r="K42" s="161">
        <f t="shared" si="5"/>
        <v>0.7</v>
      </c>
      <c r="L42" s="161">
        <f t="shared" si="5"/>
        <v>0.7</v>
      </c>
      <c r="M42" s="161">
        <f t="shared" si="5"/>
        <v>0.7</v>
      </c>
      <c r="N42" s="161">
        <f t="shared" si="5"/>
        <v>0.7</v>
      </c>
      <c r="O42" s="161">
        <f t="shared" si="5"/>
        <v>0.7</v>
      </c>
      <c r="P42" s="161">
        <f t="shared" si="5"/>
        <v>0.7</v>
      </c>
      <c r="Q42" s="161">
        <f t="shared" si="5"/>
        <v>0.7</v>
      </c>
      <c r="R42" s="161">
        <f t="shared" si="5"/>
        <v>0.7</v>
      </c>
      <c r="S42" s="161">
        <f t="shared" si="5"/>
        <v>0.7</v>
      </c>
      <c r="T42" s="161">
        <f t="shared" si="5"/>
        <v>0.7</v>
      </c>
      <c r="U42" s="161">
        <f t="shared" si="5"/>
        <v>0.7</v>
      </c>
      <c r="V42" s="161">
        <f t="shared" si="5"/>
        <v>0.7</v>
      </c>
      <c r="W42" s="161">
        <f t="shared" si="5"/>
        <v>0.7</v>
      </c>
      <c r="X42" s="161">
        <f t="shared" si="5"/>
        <v>0.7</v>
      </c>
      <c r="Y42" s="161">
        <f t="shared" si="5"/>
        <v>0.7</v>
      </c>
      <c r="Z42" s="161">
        <f t="shared" si="5"/>
        <v>0.7</v>
      </c>
      <c r="AA42" s="161">
        <f t="shared" si="5"/>
        <v>0.7</v>
      </c>
      <c r="AB42" s="161">
        <f t="shared" si="5"/>
        <v>0.7</v>
      </c>
      <c r="AC42" s="161">
        <f t="shared" si="5"/>
        <v>0.7</v>
      </c>
      <c r="AD42" s="161">
        <f t="shared" si="5"/>
        <v>0.7</v>
      </c>
      <c r="AE42" s="161">
        <f t="shared" si="5"/>
        <v>0.7</v>
      </c>
      <c r="AF42" s="161">
        <f t="shared" si="5"/>
        <v>0.7</v>
      </c>
      <c r="AG42" s="161">
        <f t="shared" si="5"/>
        <v>0.7</v>
      </c>
      <c r="AH42" s="161">
        <f t="shared" si="5"/>
        <v>0.7</v>
      </c>
      <c r="AI42" s="161">
        <f t="shared" si="5"/>
        <v>0.7</v>
      </c>
      <c r="AJ42" s="161">
        <f t="shared" si="5"/>
        <v>0.7</v>
      </c>
      <c r="AK42" s="161">
        <f t="shared" si="5"/>
        <v>0.7</v>
      </c>
    </row>
    <row r="43" spans="1:37">
      <c r="B43" s="111" t="s">
        <v>601</v>
      </c>
      <c r="H43" s="116">
        <f>H41*H42</f>
        <v>91</v>
      </c>
      <c r="I43" s="116">
        <f t="shared" ref="I43:AK43" si="6">I41*I42</f>
        <v>93.73</v>
      </c>
      <c r="J43" s="116">
        <f t="shared" si="6"/>
        <v>96.541899999999998</v>
      </c>
      <c r="K43" s="116">
        <f t="shared" si="6"/>
        <v>99.43815699999999</v>
      </c>
      <c r="L43" s="116">
        <f t="shared" si="6"/>
        <v>102.42130170999998</v>
      </c>
      <c r="M43" s="116">
        <f t="shared" si="6"/>
        <v>105.49394076129998</v>
      </c>
      <c r="N43" s="116">
        <f t="shared" si="6"/>
        <v>108.65875898413898</v>
      </c>
      <c r="O43" s="116">
        <f t="shared" si="6"/>
        <v>111.91852175366316</v>
      </c>
      <c r="P43" s="116">
        <f t="shared" si="6"/>
        <v>115.27607740627305</v>
      </c>
      <c r="Q43" s="116">
        <f t="shared" si="6"/>
        <v>118.73435972846123</v>
      </c>
      <c r="R43" s="116">
        <f t="shared" si="6"/>
        <v>122.29639052031507</v>
      </c>
      <c r="S43" s="116">
        <f t="shared" si="6"/>
        <v>125.96528223592453</v>
      </c>
      <c r="T43" s="116">
        <f t="shared" si="6"/>
        <v>129.74424070300225</v>
      </c>
      <c r="U43" s="116">
        <f t="shared" si="6"/>
        <v>133.6365679240923</v>
      </c>
      <c r="V43" s="116">
        <f t="shared" si="6"/>
        <v>137.64566496181507</v>
      </c>
      <c r="W43" s="116">
        <f t="shared" si="6"/>
        <v>141.77503491066955</v>
      </c>
      <c r="X43" s="116">
        <f t="shared" si="6"/>
        <v>146.02828595798962</v>
      </c>
      <c r="Y43" s="116">
        <f t="shared" si="6"/>
        <v>150.40913453672928</v>
      </c>
      <c r="Z43" s="116">
        <f t="shared" si="6"/>
        <v>154.92140857283118</v>
      </c>
      <c r="AA43" s="116">
        <f t="shared" si="6"/>
        <v>159.56905083001612</v>
      </c>
      <c r="AB43" s="116">
        <f t="shared" si="6"/>
        <v>164.35612235491661</v>
      </c>
      <c r="AC43" s="116">
        <f t="shared" si="6"/>
        <v>169.28680602556406</v>
      </c>
      <c r="AD43" s="116">
        <f t="shared" si="6"/>
        <v>174.36541020633101</v>
      </c>
      <c r="AE43" s="116">
        <f t="shared" si="6"/>
        <v>179.59637251252096</v>
      </c>
      <c r="AF43" s="116">
        <f t="shared" si="6"/>
        <v>184.98426368789657</v>
      </c>
      <c r="AG43" s="116">
        <f t="shared" si="6"/>
        <v>190.53379159853344</v>
      </c>
      <c r="AH43" s="116">
        <f t="shared" si="6"/>
        <v>196.24980534648947</v>
      </c>
      <c r="AI43" s="116">
        <f t="shared" si="6"/>
        <v>202.13729950688415</v>
      </c>
      <c r="AJ43" s="116">
        <f t="shared" si="6"/>
        <v>208.20141849209065</v>
      </c>
      <c r="AK43" s="116">
        <f t="shared" si="6"/>
        <v>214.44746104685339</v>
      </c>
    </row>
    <row r="44" spans="1:37"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</row>
    <row r="45" spans="1:37">
      <c r="B45" s="159" t="s">
        <v>603</v>
      </c>
      <c r="H45" s="116">
        <f>H43*H40</f>
        <v>10529155</v>
      </c>
      <c r="I45" s="116">
        <f t="shared" ref="I45:AK45" si="7">I43*I40</f>
        <v>10845029.65</v>
      </c>
      <c r="J45" s="116">
        <f t="shared" si="7"/>
        <v>11170380.5395</v>
      </c>
      <c r="K45" s="116">
        <f t="shared" si="7"/>
        <v>11505491.955684999</v>
      </c>
      <c r="L45" s="116">
        <f t="shared" si="7"/>
        <v>11850656.714355547</v>
      </c>
      <c r="M45" s="116">
        <f t="shared" si="7"/>
        <v>12206176.415786214</v>
      </c>
      <c r="N45" s="116">
        <f t="shared" si="7"/>
        <v>12572361.7082598</v>
      </c>
      <c r="O45" s="116">
        <f t="shared" si="7"/>
        <v>12949532.559507595</v>
      </c>
      <c r="P45" s="116">
        <f t="shared" si="7"/>
        <v>13338018.536292823</v>
      </c>
      <c r="Q45" s="116">
        <f t="shared" si="7"/>
        <v>13738159.092381606</v>
      </c>
      <c r="R45" s="116">
        <f t="shared" si="7"/>
        <v>14150303.865153056</v>
      </c>
      <c r="S45" s="116">
        <f t="shared" si="7"/>
        <v>14574812.981107648</v>
      </c>
      <c r="T45" s="116">
        <f t="shared" si="7"/>
        <v>15012057.370540876</v>
      </c>
      <c r="U45" s="116">
        <f t="shared" si="7"/>
        <v>15462419.0916571</v>
      </c>
      <c r="V45" s="116">
        <f t="shared" si="7"/>
        <v>15926291.664406814</v>
      </c>
      <c r="W45" s="116">
        <f t="shared" si="7"/>
        <v>16404080.414339019</v>
      </c>
      <c r="X45" s="116">
        <f t="shared" si="7"/>
        <v>16896202.826769188</v>
      </c>
      <c r="Y45" s="116">
        <f t="shared" si="7"/>
        <v>17403088.911572263</v>
      </c>
      <c r="Z45" s="116">
        <f t="shared" si="7"/>
        <v>17925181.578919433</v>
      </c>
      <c r="AA45" s="116">
        <f t="shared" si="7"/>
        <v>18462937.026287016</v>
      </c>
      <c r="AB45" s="116">
        <f t="shared" si="7"/>
        <v>19016825.137075625</v>
      </c>
      <c r="AC45" s="116">
        <f t="shared" si="7"/>
        <v>19587329.891187891</v>
      </c>
      <c r="AD45" s="116">
        <f t="shared" si="7"/>
        <v>20174949.78792353</v>
      </c>
      <c r="AE45" s="116">
        <f t="shared" si="7"/>
        <v>20780198.281561237</v>
      </c>
      <c r="AF45" s="116">
        <f t="shared" si="7"/>
        <v>21403604.230008073</v>
      </c>
      <c r="AG45" s="116">
        <f t="shared" si="7"/>
        <v>22045712.35690831</v>
      </c>
      <c r="AH45" s="116">
        <f t="shared" si="7"/>
        <v>22707083.727615565</v>
      </c>
      <c r="AI45" s="116">
        <f t="shared" si="7"/>
        <v>23388296.239444029</v>
      </c>
      <c r="AJ45" s="116">
        <f t="shared" si="7"/>
        <v>24089945.126627348</v>
      </c>
      <c r="AK45" s="116">
        <f t="shared" si="7"/>
        <v>24812643.48042617</v>
      </c>
    </row>
    <row r="46" spans="1:37">
      <c r="B46" s="159" t="s">
        <v>604</v>
      </c>
      <c r="H46" s="116">
        <f t="shared" ref="H46:AK46" si="8">H$39*$R$13</f>
        <v>2217940.9294617889</v>
      </c>
      <c r="I46" s="116">
        <f t="shared" si="8"/>
        <v>2217940.9294617889</v>
      </c>
      <c r="J46" s="116">
        <f t="shared" si="8"/>
        <v>2217940.9294617889</v>
      </c>
      <c r="K46" s="116">
        <f t="shared" si="8"/>
        <v>2217940.9294617889</v>
      </c>
      <c r="L46" s="116">
        <f t="shared" si="8"/>
        <v>2217940.9294617889</v>
      </c>
      <c r="M46" s="116">
        <f t="shared" si="8"/>
        <v>2217940.9294617889</v>
      </c>
      <c r="N46" s="116">
        <f t="shared" si="8"/>
        <v>2217940.9294617889</v>
      </c>
      <c r="O46" s="116">
        <f t="shared" si="8"/>
        <v>2217940.9294617889</v>
      </c>
      <c r="P46" s="116">
        <f t="shared" si="8"/>
        <v>2217940.9294617889</v>
      </c>
      <c r="Q46" s="116">
        <f t="shared" si="8"/>
        <v>2217940.9294617889</v>
      </c>
      <c r="R46" s="116">
        <f t="shared" si="8"/>
        <v>2217940.9294617889</v>
      </c>
      <c r="S46" s="116">
        <f t="shared" si="8"/>
        <v>2217940.9294617889</v>
      </c>
      <c r="T46" s="116">
        <f t="shared" si="8"/>
        <v>2217940.9294617889</v>
      </c>
      <c r="U46" s="116">
        <f t="shared" si="8"/>
        <v>2217940.9294617889</v>
      </c>
      <c r="V46" s="116">
        <f t="shared" si="8"/>
        <v>2217940.9294617889</v>
      </c>
      <c r="W46" s="116">
        <f t="shared" si="8"/>
        <v>2217940.9294617889</v>
      </c>
      <c r="X46" s="116">
        <f t="shared" si="8"/>
        <v>2217940.9294617889</v>
      </c>
      <c r="Y46" s="116">
        <f t="shared" si="8"/>
        <v>2217940.9294617889</v>
      </c>
      <c r="Z46" s="116">
        <f t="shared" si="8"/>
        <v>2217940.9294617889</v>
      </c>
      <c r="AA46" s="116">
        <f t="shared" si="8"/>
        <v>2217940.9294617889</v>
      </c>
      <c r="AB46" s="116">
        <f t="shared" si="8"/>
        <v>2217940.9294617889</v>
      </c>
      <c r="AC46" s="116">
        <f t="shared" si="8"/>
        <v>2217940.9294617889</v>
      </c>
      <c r="AD46" s="116">
        <f t="shared" si="8"/>
        <v>2217940.9294617889</v>
      </c>
      <c r="AE46" s="116">
        <f t="shared" si="8"/>
        <v>2217940.9294617889</v>
      </c>
      <c r="AF46" s="116">
        <f t="shared" si="8"/>
        <v>2217940.9294617889</v>
      </c>
      <c r="AG46" s="116">
        <f t="shared" si="8"/>
        <v>2217940.9294617889</v>
      </c>
      <c r="AH46" s="116">
        <f t="shared" si="8"/>
        <v>2217940.9294617889</v>
      </c>
      <c r="AI46" s="116">
        <f t="shared" si="8"/>
        <v>2217940.9294617889</v>
      </c>
      <c r="AJ46" s="116">
        <f t="shared" si="8"/>
        <v>2217940.9294617889</v>
      </c>
      <c r="AK46" s="116">
        <f t="shared" si="8"/>
        <v>2217940.9294617889</v>
      </c>
    </row>
    <row r="47" spans="1:37">
      <c r="B47" s="159" t="s">
        <v>605</v>
      </c>
      <c r="H47" s="116">
        <f t="shared" ref="H47:AK47" si="9">H39*$R$14</f>
        <v>918568.21767014172</v>
      </c>
      <c r="I47" s="116">
        <f t="shared" si="9"/>
        <v>918568.21767014172</v>
      </c>
      <c r="J47" s="116">
        <f t="shared" si="9"/>
        <v>918568.21767014172</v>
      </c>
      <c r="K47" s="116">
        <f t="shared" si="9"/>
        <v>918568.21767014172</v>
      </c>
      <c r="L47" s="116">
        <f t="shared" si="9"/>
        <v>918568.21767014172</v>
      </c>
      <c r="M47" s="116">
        <f t="shared" si="9"/>
        <v>918568.21767014172</v>
      </c>
      <c r="N47" s="116">
        <f t="shared" si="9"/>
        <v>918568.21767014172</v>
      </c>
      <c r="O47" s="116">
        <f t="shared" si="9"/>
        <v>918568.21767014172</v>
      </c>
      <c r="P47" s="116">
        <f t="shared" si="9"/>
        <v>918568.21767014172</v>
      </c>
      <c r="Q47" s="116">
        <f t="shared" si="9"/>
        <v>918568.21767014172</v>
      </c>
      <c r="R47" s="116">
        <f t="shared" si="9"/>
        <v>918568.21767014172</v>
      </c>
      <c r="S47" s="116">
        <f t="shared" si="9"/>
        <v>918568.21767014172</v>
      </c>
      <c r="T47" s="116">
        <f t="shared" si="9"/>
        <v>918568.21767014172</v>
      </c>
      <c r="U47" s="116">
        <f t="shared" si="9"/>
        <v>918568.21767014172</v>
      </c>
      <c r="V47" s="116">
        <f t="shared" si="9"/>
        <v>918568.21767014172</v>
      </c>
      <c r="W47" s="116">
        <f t="shared" si="9"/>
        <v>918568.21767014172</v>
      </c>
      <c r="X47" s="116">
        <f t="shared" si="9"/>
        <v>918568.21767014172</v>
      </c>
      <c r="Y47" s="116">
        <f t="shared" si="9"/>
        <v>918568.21767014172</v>
      </c>
      <c r="Z47" s="116">
        <f t="shared" si="9"/>
        <v>918568.21767014172</v>
      </c>
      <c r="AA47" s="116">
        <f t="shared" si="9"/>
        <v>918568.21767014172</v>
      </c>
      <c r="AB47" s="116">
        <f t="shared" si="9"/>
        <v>918568.21767014172</v>
      </c>
      <c r="AC47" s="116">
        <f t="shared" si="9"/>
        <v>918568.21767014172</v>
      </c>
      <c r="AD47" s="116">
        <f t="shared" si="9"/>
        <v>918568.21767014172</v>
      </c>
      <c r="AE47" s="116">
        <f t="shared" si="9"/>
        <v>918568.21767014172</v>
      </c>
      <c r="AF47" s="116">
        <f t="shared" si="9"/>
        <v>918568.21767014172</v>
      </c>
      <c r="AG47" s="116">
        <f t="shared" si="9"/>
        <v>918568.21767014172</v>
      </c>
      <c r="AH47" s="116">
        <f t="shared" si="9"/>
        <v>918568.21767014172</v>
      </c>
      <c r="AI47" s="116">
        <f t="shared" si="9"/>
        <v>918568.21767014172</v>
      </c>
      <c r="AJ47" s="116">
        <f t="shared" si="9"/>
        <v>918568.21767014172</v>
      </c>
      <c r="AK47" s="116">
        <f t="shared" si="9"/>
        <v>918568.21767014172</v>
      </c>
    </row>
    <row r="48" spans="1:37">
      <c r="B48" s="120" t="s">
        <v>10</v>
      </c>
      <c r="C48" s="120"/>
      <c r="D48" s="120"/>
      <c r="E48" s="120"/>
      <c r="F48" s="120"/>
      <c r="G48" s="120"/>
      <c r="H48" s="121">
        <f>SUM(H45:H47)</f>
        <v>13665664.147131931</v>
      </c>
      <c r="I48" s="121">
        <f t="shared" ref="I48:AK48" si="10">SUM(I45:I47)</f>
        <v>13981538.79713193</v>
      </c>
      <c r="J48" s="121">
        <f t="shared" si="10"/>
        <v>14306889.686631929</v>
      </c>
      <c r="K48" s="121">
        <f t="shared" si="10"/>
        <v>14642001.102816928</v>
      </c>
      <c r="L48" s="121">
        <f t="shared" si="10"/>
        <v>14987165.861487478</v>
      </c>
      <c r="M48" s="121">
        <f t="shared" si="10"/>
        <v>15342685.562918145</v>
      </c>
      <c r="N48" s="121">
        <f t="shared" si="10"/>
        <v>15708870.85539173</v>
      </c>
      <c r="O48" s="121">
        <f t="shared" si="10"/>
        <v>16086041.706639525</v>
      </c>
      <c r="P48" s="121">
        <f t="shared" si="10"/>
        <v>16474527.683424752</v>
      </c>
      <c r="Q48" s="121">
        <f t="shared" si="10"/>
        <v>16874668.239513535</v>
      </c>
      <c r="R48" s="121">
        <f t="shared" si="10"/>
        <v>17286813.012284987</v>
      </c>
      <c r="S48" s="121">
        <f t="shared" si="10"/>
        <v>17711322.128239579</v>
      </c>
      <c r="T48" s="121">
        <f t="shared" si="10"/>
        <v>18148566.517672807</v>
      </c>
      <c r="U48" s="121">
        <f t="shared" si="10"/>
        <v>18598928.238789033</v>
      </c>
      <c r="V48" s="121">
        <f t="shared" si="10"/>
        <v>19062800.811538745</v>
      </c>
      <c r="W48" s="121">
        <f t="shared" si="10"/>
        <v>19540589.561470952</v>
      </c>
      <c r="X48" s="121">
        <f t="shared" si="10"/>
        <v>20032711.973901119</v>
      </c>
      <c r="Y48" s="121">
        <f t="shared" si="10"/>
        <v>20539598.058704194</v>
      </c>
      <c r="Z48" s="121">
        <f t="shared" si="10"/>
        <v>21061690.726051364</v>
      </c>
      <c r="AA48" s="121">
        <f t="shared" si="10"/>
        <v>21599446.173418947</v>
      </c>
      <c r="AB48" s="121">
        <f t="shared" si="10"/>
        <v>22153334.284207556</v>
      </c>
      <c r="AC48" s="121">
        <f t="shared" si="10"/>
        <v>22723839.038319822</v>
      </c>
      <c r="AD48" s="121">
        <f t="shared" si="10"/>
        <v>23311458.935055461</v>
      </c>
      <c r="AE48" s="121">
        <f t="shared" si="10"/>
        <v>23916707.428693168</v>
      </c>
      <c r="AF48" s="121">
        <f t="shared" si="10"/>
        <v>24540113.377140004</v>
      </c>
      <c r="AG48" s="121">
        <f t="shared" si="10"/>
        <v>25182221.504040241</v>
      </c>
      <c r="AH48" s="121">
        <f t="shared" si="10"/>
        <v>25843592.874747496</v>
      </c>
      <c r="AI48" s="121">
        <f t="shared" si="10"/>
        <v>26524805.38657596</v>
      </c>
      <c r="AJ48" s="121">
        <f t="shared" si="10"/>
        <v>27226454.273759279</v>
      </c>
      <c r="AK48" s="121">
        <f t="shared" si="10"/>
        <v>27949152.627558101</v>
      </c>
    </row>
    <row r="49" spans="2:37"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</row>
    <row r="50" spans="2:37">
      <c r="B50" s="111" t="s">
        <v>615</v>
      </c>
      <c r="H50" s="116">
        <f t="shared" ref="H50:AK50" si="11">H$39*$R16</f>
        <v>3264186.4130833638</v>
      </c>
      <c r="I50" s="116">
        <f t="shared" si="11"/>
        <v>3264186.4130833638</v>
      </c>
      <c r="J50" s="116">
        <f t="shared" si="11"/>
        <v>3264186.4130833638</v>
      </c>
      <c r="K50" s="116">
        <f t="shared" si="11"/>
        <v>3264186.4130833638</v>
      </c>
      <c r="L50" s="116">
        <f t="shared" si="11"/>
        <v>3264186.4130833638</v>
      </c>
      <c r="M50" s="116">
        <f t="shared" si="11"/>
        <v>3264186.4130833638</v>
      </c>
      <c r="N50" s="116">
        <f t="shared" si="11"/>
        <v>3264186.4130833638</v>
      </c>
      <c r="O50" s="116">
        <f t="shared" si="11"/>
        <v>3264186.4130833638</v>
      </c>
      <c r="P50" s="116">
        <f t="shared" si="11"/>
        <v>3264186.4130833638</v>
      </c>
      <c r="Q50" s="116">
        <f t="shared" si="11"/>
        <v>3264186.4130833638</v>
      </c>
      <c r="R50" s="116">
        <f t="shared" si="11"/>
        <v>3264186.4130833638</v>
      </c>
      <c r="S50" s="116">
        <f t="shared" si="11"/>
        <v>3264186.4130833638</v>
      </c>
      <c r="T50" s="116">
        <f t="shared" si="11"/>
        <v>3264186.4130833638</v>
      </c>
      <c r="U50" s="116">
        <f t="shared" si="11"/>
        <v>3264186.4130833638</v>
      </c>
      <c r="V50" s="116">
        <f t="shared" si="11"/>
        <v>3264186.4130833638</v>
      </c>
      <c r="W50" s="116">
        <f t="shared" si="11"/>
        <v>3264186.4130833638</v>
      </c>
      <c r="X50" s="116">
        <f t="shared" si="11"/>
        <v>3264186.4130833638</v>
      </c>
      <c r="Y50" s="116">
        <f t="shared" si="11"/>
        <v>3264186.4130833638</v>
      </c>
      <c r="Z50" s="116">
        <f t="shared" si="11"/>
        <v>3264186.4130833638</v>
      </c>
      <c r="AA50" s="116">
        <f t="shared" si="11"/>
        <v>3264186.4130833638</v>
      </c>
      <c r="AB50" s="116">
        <f t="shared" si="11"/>
        <v>3264186.4130833638</v>
      </c>
      <c r="AC50" s="116">
        <f t="shared" si="11"/>
        <v>3264186.4130833638</v>
      </c>
      <c r="AD50" s="116">
        <f t="shared" si="11"/>
        <v>3264186.4130833638</v>
      </c>
      <c r="AE50" s="116">
        <f t="shared" si="11"/>
        <v>3264186.4130833638</v>
      </c>
      <c r="AF50" s="116">
        <f t="shared" si="11"/>
        <v>3264186.4130833638</v>
      </c>
      <c r="AG50" s="116">
        <f t="shared" si="11"/>
        <v>3264186.4130833638</v>
      </c>
      <c r="AH50" s="116">
        <f t="shared" si="11"/>
        <v>3264186.4130833638</v>
      </c>
      <c r="AI50" s="116">
        <f t="shared" si="11"/>
        <v>3264186.4130833638</v>
      </c>
      <c r="AJ50" s="116">
        <f t="shared" si="11"/>
        <v>3264186.4130833638</v>
      </c>
      <c r="AK50" s="116">
        <f t="shared" si="11"/>
        <v>3264186.4130833638</v>
      </c>
    </row>
    <row r="51" spans="2:37">
      <c r="B51" s="111" t="s">
        <v>614</v>
      </c>
      <c r="H51" s="116">
        <f t="shared" ref="H51:AK51" si="12">H$39*$R17</f>
        <v>1683374.2447113893</v>
      </c>
      <c r="I51" s="116">
        <f t="shared" si="12"/>
        <v>1683374.2447113893</v>
      </c>
      <c r="J51" s="116">
        <f t="shared" si="12"/>
        <v>1683374.2447113893</v>
      </c>
      <c r="K51" s="116">
        <f t="shared" si="12"/>
        <v>1683374.2447113893</v>
      </c>
      <c r="L51" s="116">
        <f t="shared" si="12"/>
        <v>1683374.2447113893</v>
      </c>
      <c r="M51" s="116">
        <f t="shared" si="12"/>
        <v>1683374.2447113893</v>
      </c>
      <c r="N51" s="116">
        <f t="shared" si="12"/>
        <v>1683374.2447113893</v>
      </c>
      <c r="O51" s="116">
        <f t="shared" si="12"/>
        <v>1683374.2447113893</v>
      </c>
      <c r="P51" s="116">
        <f t="shared" si="12"/>
        <v>1683374.2447113893</v>
      </c>
      <c r="Q51" s="116">
        <f t="shared" si="12"/>
        <v>1683374.2447113893</v>
      </c>
      <c r="R51" s="116">
        <f t="shared" si="12"/>
        <v>1683374.2447113893</v>
      </c>
      <c r="S51" s="116">
        <f t="shared" si="12"/>
        <v>1683374.2447113893</v>
      </c>
      <c r="T51" s="116">
        <f t="shared" si="12"/>
        <v>1683374.2447113893</v>
      </c>
      <c r="U51" s="116">
        <f t="shared" si="12"/>
        <v>1683374.2447113893</v>
      </c>
      <c r="V51" s="116">
        <f t="shared" si="12"/>
        <v>1683374.2447113893</v>
      </c>
      <c r="W51" s="116">
        <f t="shared" si="12"/>
        <v>1683374.2447113893</v>
      </c>
      <c r="X51" s="116">
        <f t="shared" si="12"/>
        <v>1683374.2447113893</v>
      </c>
      <c r="Y51" s="116">
        <f t="shared" si="12"/>
        <v>1683374.2447113893</v>
      </c>
      <c r="Z51" s="116">
        <f t="shared" si="12"/>
        <v>1683374.2447113893</v>
      </c>
      <c r="AA51" s="116">
        <f t="shared" si="12"/>
        <v>1683374.2447113893</v>
      </c>
      <c r="AB51" s="116">
        <f t="shared" si="12"/>
        <v>1683374.2447113893</v>
      </c>
      <c r="AC51" s="116">
        <f t="shared" si="12"/>
        <v>1683374.2447113893</v>
      </c>
      <c r="AD51" s="116">
        <f t="shared" si="12"/>
        <v>1683374.2447113893</v>
      </c>
      <c r="AE51" s="116">
        <f t="shared" si="12"/>
        <v>1683374.2447113893</v>
      </c>
      <c r="AF51" s="116">
        <f t="shared" si="12"/>
        <v>1683374.2447113893</v>
      </c>
      <c r="AG51" s="116">
        <f t="shared" si="12"/>
        <v>1683374.2447113893</v>
      </c>
      <c r="AH51" s="116">
        <f t="shared" si="12"/>
        <v>1683374.2447113893</v>
      </c>
      <c r="AI51" s="116">
        <f t="shared" si="12"/>
        <v>1683374.2447113893</v>
      </c>
      <c r="AJ51" s="116">
        <f t="shared" si="12"/>
        <v>1683374.2447113893</v>
      </c>
      <c r="AK51" s="116">
        <f t="shared" si="12"/>
        <v>1683374.2447113893</v>
      </c>
    </row>
    <row r="52" spans="2:37">
      <c r="B52" s="111" t="s">
        <v>613</v>
      </c>
      <c r="H52" s="116">
        <f t="shared" ref="H52:AK52" si="13">H$39*$R18</f>
        <v>183933.64103845492</v>
      </c>
      <c r="I52" s="116">
        <f t="shared" si="13"/>
        <v>183933.64103845492</v>
      </c>
      <c r="J52" s="116">
        <f t="shared" si="13"/>
        <v>183933.64103845492</v>
      </c>
      <c r="K52" s="116">
        <f t="shared" si="13"/>
        <v>183933.64103845492</v>
      </c>
      <c r="L52" s="116">
        <f t="shared" si="13"/>
        <v>183933.64103845492</v>
      </c>
      <c r="M52" s="116">
        <f t="shared" si="13"/>
        <v>183933.64103845492</v>
      </c>
      <c r="N52" s="116">
        <f t="shared" si="13"/>
        <v>183933.64103845492</v>
      </c>
      <c r="O52" s="116">
        <f t="shared" si="13"/>
        <v>183933.64103845492</v>
      </c>
      <c r="P52" s="116">
        <f t="shared" si="13"/>
        <v>183933.64103845492</v>
      </c>
      <c r="Q52" s="116">
        <f t="shared" si="13"/>
        <v>183933.64103845492</v>
      </c>
      <c r="R52" s="116">
        <f t="shared" si="13"/>
        <v>183933.64103845492</v>
      </c>
      <c r="S52" s="116">
        <f t="shared" si="13"/>
        <v>183933.64103845492</v>
      </c>
      <c r="T52" s="116">
        <f t="shared" si="13"/>
        <v>183933.64103845492</v>
      </c>
      <c r="U52" s="116">
        <f t="shared" si="13"/>
        <v>183933.64103845492</v>
      </c>
      <c r="V52" s="116">
        <f t="shared" si="13"/>
        <v>183933.64103845492</v>
      </c>
      <c r="W52" s="116">
        <f t="shared" si="13"/>
        <v>183933.64103845492</v>
      </c>
      <c r="X52" s="116">
        <f t="shared" si="13"/>
        <v>183933.64103845492</v>
      </c>
      <c r="Y52" s="116">
        <f t="shared" si="13"/>
        <v>183933.64103845492</v>
      </c>
      <c r="Z52" s="116">
        <f t="shared" si="13"/>
        <v>183933.64103845492</v>
      </c>
      <c r="AA52" s="116">
        <f t="shared" si="13"/>
        <v>183933.64103845492</v>
      </c>
      <c r="AB52" s="116">
        <f t="shared" si="13"/>
        <v>183933.64103845492</v>
      </c>
      <c r="AC52" s="116">
        <f t="shared" si="13"/>
        <v>183933.64103845492</v>
      </c>
      <c r="AD52" s="116">
        <f t="shared" si="13"/>
        <v>183933.64103845492</v>
      </c>
      <c r="AE52" s="116">
        <f t="shared" si="13"/>
        <v>183933.64103845492</v>
      </c>
      <c r="AF52" s="116">
        <f t="shared" si="13"/>
        <v>183933.64103845492</v>
      </c>
      <c r="AG52" s="116">
        <f t="shared" si="13"/>
        <v>183933.64103845492</v>
      </c>
      <c r="AH52" s="116">
        <f t="shared" si="13"/>
        <v>183933.64103845492</v>
      </c>
      <c r="AI52" s="116">
        <f t="shared" si="13"/>
        <v>183933.64103845492</v>
      </c>
      <c r="AJ52" s="116">
        <f t="shared" si="13"/>
        <v>183933.64103845492</v>
      </c>
      <c r="AK52" s="116">
        <f t="shared" si="13"/>
        <v>183933.64103845492</v>
      </c>
    </row>
    <row r="53" spans="2:37">
      <c r="B53" s="120" t="s">
        <v>414</v>
      </c>
      <c r="C53" s="120"/>
      <c r="D53" s="120"/>
      <c r="E53" s="120"/>
      <c r="F53" s="120"/>
      <c r="G53" s="120"/>
      <c r="H53" s="121">
        <f>SUM(H50:H52)</f>
        <v>5131494.2988332082</v>
      </c>
      <c r="I53" s="121">
        <f t="shared" ref="I53:AK53" si="14">SUM(I50:I52)</f>
        <v>5131494.2988332082</v>
      </c>
      <c r="J53" s="121">
        <f t="shared" si="14"/>
        <v>5131494.2988332082</v>
      </c>
      <c r="K53" s="121">
        <f t="shared" si="14"/>
        <v>5131494.2988332082</v>
      </c>
      <c r="L53" s="121">
        <f t="shared" si="14"/>
        <v>5131494.2988332082</v>
      </c>
      <c r="M53" s="121">
        <f t="shared" si="14"/>
        <v>5131494.2988332082</v>
      </c>
      <c r="N53" s="121">
        <f t="shared" si="14"/>
        <v>5131494.2988332082</v>
      </c>
      <c r="O53" s="121">
        <f t="shared" si="14"/>
        <v>5131494.2988332082</v>
      </c>
      <c r="P53" s="121">
        <f t="shared" si="14"/>
        <v>5131494.2988332082</v>
      </c>
      <c r="Q53" s="121">
        <f t="shared" si="14"/>
        <v>5131494.2988332082</v>
      </c>
      <c r="R53" s="121">
        <f t="shared" si="14"/>
        <v>5131494.2988332082</v>
      </c>
      <c r="S53" s="121">
        <f t="shared" si="14"/>
        <v>5131494.2988332082</v>
      </c>
      <c r="T53" s="121">
        <f t="shared" si="14"/>
        <v>5131494.2988332082</v>
      </c>
      <c r="U53" s="121">
        <f t="shared" si="14"/>
        <v>5131494.2988332082</v>
      </c>
      <c r="V53" s="121">
        <f t="shared" si="14"/>
        <v>5131494.2988332082</v>
      </c>
      <c r="W53" s="121">
        <f t="shared" si="14"/>
        <v>5131494.2988332082</v>
      </c>
      <c r="X53" s="121">
        <f t="shared" si="14"/>
        <v>5131494.2988332082</v>
      </c>
      <c r="Y53" s="121">
        <f t="shared" si="14"/>
        <v>5131494.2988332082</v>
      </c>
      <c r="Z53" s="121">
        <f t="shared" si="14"/>
        <v>5131494.2988332082</v>
      </c>
      <c r="AA53" s="121">
        <f t="shared" si="14"/>
        <v>5131494.2988332082</v>
      </c>
      <c r="AB53" s="121">
        <f t="shared" si="14"/>
        <v>5131494.2988332082</v>
      </c>
      <c r="AC53" s="121">
        <f t="shared" si="14"/>
        <v>5131494.2988332082</v>
      </c>
      <c r="AD53" s="121">
        <f t="shared" si="14"/>
        <v>5131494.2988332082</v>
      </c>
      <c r="AE53" s="121">
        <f t="shared" si="14"/>
        <v>5131494.2988332082</v>
      </c>
      <c r="AF53" s="121">
        <f t="shared" si="14"/>
        <v>5131494.2988332082</v>
      </c>
      <c r="AG53" s="121">
        <f t="shared" si="14"/>
        <v>5131494.2988332082</v>
      </c>
      <c r="AH53" s="121">
        <f t="shared" si="14"/>
        <v>5131494.2988332082</v>
      </c>
      <c r="AI53" s="121">
        <f t="shared" si="14"/>
        <v>5131494.2988332082</v>
      </c>
      <c r="AJ53" s="121">
        <f t="shared" si="14"/>
        <v>5131494.2988332082</v>
      </c>
      <c r="AK53" s="121">
        <f t="shared" si="14"/>
        <v>5131494.2988332082</v>
      </c>
    </row>
    <row r="55" spans="2:37">
      <c r="B55" s="171" t="s">
        <v>617</v>
      </c>
    </row>
    <row r="56" spans="2:37">
      <c r="B56" s="111" t="s">
        <v>618</v>
      </c>
      <c r="H56" s="116">
        <f t="shared" ref="H56:AK56" si="15">H$39*$R21</f>
        <v>1460450.0622546445</v>
      </c>
      <c r="I56" s="116">
        <f t="shared" si="15"/>
        <v>1460450.0622546445</v>
      </c>
      <c r="J56" s="116">
        <f t="shared" si="15"/>
        <v>1460450.0622546445</v>
      </c>
      <c r="K56" s="116">
        <f t="shared" si="15"/>
        <v>1460450.0622546445</v>
      </c>
      <c r="L56" s="116">
        <f t="shared" si="15"/>
        <v>1460450.0622546445</v>
      </c>
      <c r="M56" s="116">
        <f t="shared" si="15"/>
        <v>1460450.0622546445</v>
      </c>
      <c r="N56" s="116">
        <f t="shared" si="15"/>
        <v>1460450.0622546445</v>
      </c>
      <c r="O56" s="116">
        <f t="shared" si="15"/>
        <v>1460450.0622546445</v>
      </c>
      <c r="P56" s="116">
        <f t="shared" si="15"/>
        <v>1460450.0622546445</v>
      </c>
      <c r="Q56" s="116">
        <f t="shared" si="15"/>
        <v>1460450.0622546445</v>
      </c>
      <c r="R56" s="116">
        <f t="shared" si="15"/>
        <v>1460450.0622546445</v>
      </c>
      <c r="S56" s="116">
        <f t="shared" si="15"/>
        <v>1460450.0622546445</v>
      </c>
      <c r="T56" s="116">
        <f t="shared" si="15"/>
        <v>1460450.0622546445</v>
      </c>
      <c r="U56" s="116">
        <f t="shared" si="15"/>
        <v>1460450.0622546445</v>
      </c>
      <c r="V56" s="116">
        <f t="shared" si="15"/>
        <v>1460450.0622546445</v>
      </c>
      <c r="W56" s="116">
        <f t="shared" si="15"/>
        <v>1460450.0622546445</v>
      </c>
      <c r="X56" s="116">
        <f t="shared" si="15"/>
        <v>1460450.0622546445</v>
      </c>
      <c r="Y56" s="116">
        <f t="shared" si="15"/>
        <v>1460450.0622546445</v>
      </c>
      <c r="Z56" s="116">
        <f t="shared" si="15"/>
        <v>1460450.0622546445</v>
      </c>
      <c r="AA56" s="116">
        <f t="shared" si="15"/>
        <v>1460450.0622546445</v>
      </c>
      <c r="AB56" s="116">
        <f t="shared" si="15"/>
        <v>1460450.0622546445</v>
      </c>
      <c r="AC56" s="116">
        <f t="shared" si="15"/>
        <v>1460450.0622546445</v>
      </c>
      <c r="AD56" s="116">
        <f t="shared" si="15"/>
        <v>1460450.0622546445</v>
      </c>
      <c r="AE56" s="116">
        <f t="shared" si="15"/>
        <v>1460450.0622546445</v>
      </c>
      <c r="AF56" s="116">
        <f t="shared" si="15"/>
        <v>1460450.0622546445</v>
      </c>
      <c r="AG56" s="116">
        <f t="shared" si="15"/>
        <v>1460450.0622546445</v>
      </c>
      <c r="AH56" s="116">
        <f t="shared" si="15"/>
        <v>1460450.0622546445</v>
      </c>
      <c r="AI56" s="116">
        <f t="shared" si="15"/>
        <v>1460450.0622546445</v>
      </c>
      <c r="AJ56" s="116">
        <f t="shared" si="15"/>
        <v>1460450.0622546445</v>
      </c>
      <c r="AK56" s="116">
        <f t="shared" si="15"/>
        <v>1460450.0622546445</v>
      </c>
    </row>
    <row r="57" spans="2:37">
      <c r="B57" s="111" t="s">
        <v>619</v>
      </c>
      <c r="H57" s="116">
        <f t="shared" ref="H57:AK57" si="16">H$39*$R22</f>
        <v>1173954.3448767746</v>
      </c>
      <c r="I57" s="116">
        <f t="shared" si="16"/>
        <v>1173954.3448767746</v>
      </c>
      <c r="J57" s="116">
        <f t="shared" si="16"/>
        <v>1173954.3448767746</v>
      </c>
      <c r="K57" s="116">
        <f t="shared" si="16"/>
        <v>1173954.3448767746</v>
      </c>
      <c r="L57" s="116">
        <f t="shared" si="16"/>
        <v>1173954.3448767746</v>
      </c>
      <c r="M57" s="116">
        <f t="shared" si="16"/>
        <v>1173954.3448767746</v>
      </c>
      <c r="N57" s="116">
        <f t="shared" si="16"/>
        <v>1173954.3448767746</v>
      </c>
      <c r="O57" s="116">
        <f t="shared" si="16"/>
        <v>1173954.3448767746</v>
      </c>
      <c r="P57" s="116">
        <f t="shared" si="16"/>
        <v>1173954.3448767746</v>
      </c>
      <c r="Q57" s="116">
        <f t="shared" si="16"/>
        <v>1173954.3448767746</v>
      </c>
      <c r="R57" s="116">
        <f t="shared" si="16"/>
        <v>1173954.3448767746</v>
      </c>
      <c r="S57" s="116">
        <f t="shared" si="16"/>
        <v>1173954.3448767746</v>
      </c>
      <c r="T57" s="116">
        <f t="shared" si="16"/>
        <v>1173954.3448767746</v>
      </c>
      <c r="U57" s="116">
        <f t="shared" si="16"/>
        <v>1173954.3448767746</v>
      </c>
      <c r="V57" s="116">
        <f t="shared" si="16"/>
        <v>1173954.3448767746</v>
      </c>
      <c r="W57" s="116">
        <f t="shared" si="16"/>
        <v>1173954.3448767746</v>
      </c>
      <c r="X57" s="116">
        <f t="shared" si="16"/>
        <v>1173954.3448767746</v>
      </c>
      <c r="Y57" s="116">
        <f t="shared" si="16"/>
        <v>1173954.3448767746</v>
      </c>
      <c r="Z57" s="116">
        <f t="shared" si="16"/>
        <v>1173954.3448767746</v>
      </c>
      <c r="AA57" s="116">
        <f t="shared" si="16"/>
        <v>1173954.3448767746</v>
      </c>
      <c r="AB57" s="116">
        <f t="shared" si="16"/>
        <v>1173954.3448767746</v>
      </c>
      <c r="AC57" s="116">
        <f t="shared" si="16"/>
        <v>1173954.3448767746</v>
      </c>
      <c r="AD57" s="116">
        <f t="shared" si="16"/>
        <v>1173954.3448767746</v>
      </c>
      <c r="AE57" s="116">
        <f t="shared" si="16"/>
        <v>1173954.3448767746</v>
      </c>
      <c r="AF57" s="116">
        <f t="shared" si="16"/>
        <v>1173954.3448767746</v>
      </c>
      <c r="AG57" s="116">
        <f t="shared" si="16"/>
        <v>1173954.3448767746</v>
      </c>
      <c r="AH57" s="116">
        <f t="shared" si="16"/>
        <v>1173954.3448767746</v>
      </c>
      <c r="AI57" s="116">
        <f t="shared" si="16"/>
        <v>1173954.3448767746</v>
      </c>
      <c r="AJ57" s="116">
        <f t="shared" si="16"/>
        <v>1173954.3448767746</v>
      </c>
      <c r="AK57" s="116">
        <f t="shared" si="16"/>
        <v>1173954.3448767746</v>
      </c>
    </row>
    <row r="58" spans="2:37">
      <c r="B58" s="111" t="s">
        <v>620</v>
      </c>
      <c r="H58" s="116">
        <f t="shared" ref="H58:AK58" si="17">H$39*$R23</f>
        <v>202581.29128198494</v>
      </c>
      <c r="I58" s="116">
        <f t="shared" si="17"/>
        <v>202581.29128198494</v>
      </c>
      <c r="J58" s="116">
        <f t="shared" si="17"/>
        <v>202581.29128198494</v>
      </c>
      <c r="K58" s="116">
        <f t="shared" si="17"/>
        <v>202581.29128198494</v>
      </c>
      <c r="L58" s="116">
        <f t="shared" si="17"/>
        <v>202581.29128198494</v>
      </c>
      <c r="M58" s="116">
        <f t="shared" si="17"/>
        <v>202581.29128198494</v>
      </c>
      <c r="N58" s="116">
        <f t="shared" si="17"/>
        <v>202581.29128198494</v>
      </c>
      <c r="O58" s="116">
        <f t="shared" si="17"/>
        <v>202581.29128198494</v>
      </c>
      <c r="P58" s="116">
        <f t="shared" si="17"/>
        <v>202581.29128198494</v>
      </c>
      <c r="Q58" s="116">
        <f t="shared" si="17"/>
        <v>202581.29128198494</v>
      </c>
      <c r="R58" s="116">
        <f t="shared" si="17"/>
        <v>202581.29128198494</v>
      </c>
      <c r="S58" s="116">
        <f t="shared" si="17"/>
        <v>202581.29128198494</v>
      </c>
      <c r="T58" s="116">
        <f t="shared" si="17"/>
        <v>202581.29128198494</v>
      </c>
      <c r="U58" s="116">
        <f t="shared" si="17"/>
        <v>202581.29128198494</v>
      </c>
      <c r="V58" s="116">
        <f t="shared" si="17"/>
        <v>202581.29128198494</v>
      </c>
      <c r="W58" s="116">
        <f t="shared" si="17"/>
        <v>202581.29128198494</v>
      </c>
      <c r="X58" s="116">
        <f t="shared" si="17"/>
        <v>202581.29128198494</v>
      </c>
      <c r="Y58" s="116">
        <f t="shared" si="17"/>
        <v>202581.29128198494</v>
      </c>
      <c r="Z58" s="116">
        <f t="shared" si="17"/>
        <v>202581.29128198494</v>
      </c>
      <c r="AA58" s="116">
        <f t="shared" si="17"/>
        <v>202581.29128198494</v>
      </c>
      <c r="AB58" s="116">
        <f t="shared" si="17"/>
        <v>202581.29128198494</v>
      </c>
      <c r="AC58" s="116">
        <f t="shared" si="17"/>
        <v>202581.29128198494</v>
      </c>
      <c r="AD58" s="116">
        <f t="shared" si="17"/>
        <v>202581.29128198494</v>
      </c>
      <c r="AE58" s="116">
        <f t="shared" si="17"/>
        <v>202581.29128198494</v>
      </c>
      <c r="AF58" s="116">
        <f t="shared" si="17"/>
        <v>202581.29128198494</v>
      </c>
      <c r="AG58" s="116">
        <f t="shared" si="17"/>
        <v>202581.29128198494</v>
      </c>
      <c r="AH58" s="116">
        <f t="shared" si="17"/>
        <v>202581.29128198494</v>
      </c>
      <c r="AI58" s="116">
        <f t="shared" si="17"/>
        <v>202581.29128198494</v>
      </c>
      <c r="AJ58" s="116">
        <f t="shared" si="17"/>
        <v>202581.29128198494</v>
      </c>
      <c r="AK58" s="116">
        <f t="shared" si="17"/>
        <v>202581.29128198494</v>
      </c>
    </row>
    <row r="59" spans="2:37">
      <c r="B59" s="111" t="s">
        <v>621</v>
      </c>
      <c r="H59" s="116">
        <f t="shared" ref="H59:AK59" si="18">H$39*$R24</f>
        <v>642496.31293616979</v>
      </c>
      <c r="I59" s="116">
        <f t="shared" si="18"/>
        <v>642496.31293616979</v>
      </c>
      <c r="J59" s="116">
        <f t="shared" si="18"/>
        <v>642496.31293616979</v>
      </c>
      <c r="K59" s="116">
        <f t="shared" si="18"/>
        <v>642496.31293616979</v>
      </c>
      <c r="L59" s="116">
        <f t="shared" si="18"/>
        <v>642496.31293616979</v>
      </c>
      <c r="M59" s="116">
        <f t="shared" si="18"/>
        <v>642496.31293616979</v>
      </c>
      <c r="N59" s="116">
        <f t="shared" si="18"/>
        <v>642496.31293616979</v>
      </c>
      <c r="O59" s="116">
        <f t="shared" si="18"/>
        <v>642496.31293616979</v>
      </c>
      <c r="P59" s="116">
        <f t="shared" si="18"/>
        <v>642496.31293616979</v>
      </c>
      <c r="Q59" s="116">
        <f t="shared" si="18"/>
        <v>642496.31293616979</v>
      </c>
      <c r="R59" s="116">
        <f t="shared" si="18"/>
        <v>642496.31293616979</v>
      </c>
      <c r="S59" s="116">
        <f t="shared" si="18"/>
        <v>642496.31293616979</v>
      </c>
      <c r="T59" s="116">
        <f t="shared" si="18"/>
        <v>642496.31293616979</v>
      </c>
      <c r="U59" s="116">
        <f t="shared" si="18"/>
        <v>642496.31293616979</v>
      </c>
      <c r="V59" s="116">
        <f t="shared" si="18"/>
        <v>642496.31293616979</v>
      </c>
      <c r="W59" s="116">
        <f t="shared" si="18"/>
        <v>642496.31293616979</v>
      </c>
      <c r="X59" s="116">
        <f t="shared" si="18"/>
        <v>642496.31293616979</v>
      </c>
      <c r="Y59" s="116">
        <f t="shared" si="18"/>
        <v>642496.31293616979</v>
      </c>
      <c r="Z59" s="116">
        <f t="shared" si="18"/>
        <v>642496.31293616979</v>
      </c>
      <c r="AA59" s="116">
        <f t="shared" si="18"/>
        <v>642496.31293616979</v>
      </c>
      <c r="AB59" s="116">
        <f t="shared" si="18"/>
        <v>642496.31293616979</v>
      </c>
      <c r="AC59" s="116">
        <f t="shared" si="18"/>
        <v>642496.31293616979</v>
      </c>
      <c r="AD59" s="116">
        <f t="shared" si="18"/>
        <v>642496.31293616979</v>
      </c>
      <c r="AE59" s="116">
        <f t="shared" si="18"/>
        <v>642496.31293616979</v>
      </c>
      <c r="AF59" s="116">
        <f t="shared" si="18"/>
        <v>642496.31293616979</v>
      </c>
      <c r="AG59" s="116">
        <f t="shared" si="18"/>
        <v>642496.31293616979</v>
      </c>
      <c r="AH59" s="116">
        <f t="shared" si="18"/>
        <v>642496.31293616979</v>
      </c>
      <c r="AI59" s="116">
        <f t="shared" si="18"/>
        <v>642496.31293616979</v>
      </c>
      <c r="AJ59" s="116">
        <f t="shared" si="18"/>
        <v>642496.31293616979</v>
      </c>
      <c r="AK59" s="116">
        <f t="shared" si="18"/>
        <v>642496.31293616979</v>
      </c>
    </row>
    <row r="60" spans="2:37">
      <c r="B60" s="111" t="s">
        <v>36</v>
      </c>
      <c r="H60" s="116">
        <f t="shared" ref="H60:AK60" si="19">H$39*$R25</f>
        <v>431438.81699803483</v>
      </c>
      <c r="I60" s="116">
        <f t="shared" si="19"/>
        <v>431438.81699803483</v>
      </c>
      <c r="J60" s="116">
        <f t="shared" si="19"/>
        <v>431438.81699803483</v>
      </c>
      <c r="K60" s="116">
        <f t="shared" si="19"/>
        <v>431438.81699803483</v>
      </c>
      <c r="L60" s="116">
        <f t="shared" si="19"/>
        <v>431438.81699803483</v>
      </c>
      <c r="M60" s="116">
        <f t="shared" si="19"/>
        <v>431438.81699803483</v>
      </c>
      <c r="N60" s="116">
        <f t="shared" si="19"/>
        <v>431438.81699803483</v>
      </c>
      <c r="O60" s="116">
        <f t="shared" si="19"/>
        <v>431438.81699803483</v>
      </c>
      <c r="P60" s="116">
        <f t="shared" si="19"/>
        <v>431438.81699803483</v>
      </c>
      <c r="Q60" s="116">
        <f t="shared" si="19"/>
        <v>431438.81699803483</v>
      </c>
      <c r="R60" s="116">
        <f t="shared" si="19"/>
        <v>431438.81699803483</v>
      </c>
      <c r="S60" s="116">
        <f t="shared" si="19"/>
        <v>431438.81699803483</v>
      </c>
      <c r="T60" s="116">
        <f t="shared" si="19"/>
        <v>431438.81699803483</v>
      </c>
      <c r="U60" s="116">
        <f t="shared" si="19"/>
        <v>431438.81699803483</v>
      </c>
      <c r="V60" s="116">
        <f t="shared" si="19"/>
        <v>431438.81699803483</v>
      </c>
      <c r="W60" s="116">
        <f t="shared" si="19"/>
        <v>431438.81699803483</v>
      </c>
      <c r="X60" s="116">
        <f t="shared" si="19"/>
        <v>431438.81699803483</v>
      </c>
      <c r="Y60" s="116">
        <f t="shared" si="19"/>
        <v>431438.81699803483</v>
      </c>
      <c r="Z60" s="116">
        <f t="shared" si="19"/>
        <v>431438.81699803483</v>
      </c>
      <c r="AA60" s="116">
        <f t="shared" si="19"/>
        <v>431438.81699803483</v>
      </c>
      <c r="AB60" s="116">
        <f t="shared" si="19"/>
        <v>431438.81699803483</v>
      </c>
      <c r="AC60" s="116">
        <f t="shared" si="19"/>
        <v>431438.81699803483</v>
      </c>
      <c r="AD60" s="116">
        <f t="shared" si="19"/>
        <v>431438.81699803483</v>
      </c>
      <c r="AE60" s="116">
        <f t="shared" si="19"/>
        <v>431438.81699803483</v>
      </c>
      <c r="AF60" s="116">
        <f t="shared" si="19"/>
        <v>431438.81699803483</v>
      </c>
      <c r="AG60" s="116">
        <f t="shared" si="19"/>
        <v>431438.81699803483</v>
      </c>
      <c r="AH60" s="116">
        <f t="shared" si="19"/>
        <v>431438.81699803483</v>
      </c>
      <c r="AI60" s="116">
        <f t="shared" si="19"/>
        <v>431438.81699803483</v>
      </c>
      <c r="AJ60" s="116">
        <f t="shared" si="19"/>
        <v>431438.81699803483</v>
      </c>
      <c r="AK60" s="116">
        <f t="shared" si="19"/>
        <v>431438.81699803483</v>
      </c>
    </row>
    <row r="61" spans="2:37">
      <c r="B61" s="111" t="s">
        <v>622</v>
      </c>
      <c r="H61" s="116">
        <f t="shared" ref="H61:AK61" si="20">H$39*$R26</f>
        <v>224619.42338797491</v>
      </c>
      <c r="I61" s="116">
        <f t="shared" si="20"/>
        <v>224619.42338797491</v>
      </c>
      <c r="J61" s="116">
        <f t="shared" si="20"/>
        <v>224619.42338797491</v>
      </c>
      <c r="K61" s="116">
        <f t="shared" si="20"/>
        <v>224619.42338797491</v>
      </c>
      <c r="L61" s="116">
        <f t="shared" si="20"/>
        <v>224619.42338797491</v>
      </c>
      <c r="M61" s="116">
        <f t="shared" si="20"/>
        <v>224619.42338797491</v>
      </c>
      <c r="N61" s="116">
        <f t="shared" si="20"/>
        <v>224619.42338797491</v>
      </c>
      <c r="O61" s="116">
        <f t="shared" si="20"/>
        <v>224619.42338797491</v>
      </c>
      <c r="P61" s="116">
        <f t="shared" si="20"/>
        <v>224619.42338797491</v>
      </c>
      <c r="Q61" s="116">
        <f t="shared" si="20"/>
        <v>224619.42338797491</v>
      </c>
      <c r="R61" s="116">
        <f t="shared" si="20"/>
        <v>224619.42338797491</v>
      </c>
      <c r="S61" s="116">
        <f t="shared" si="20"/>
        <v>224619.42338797491</v>
      </c>
      <c r="T61" s="116">
        <f t="shared" si="20"/>
        <v>224619.42338797491</v>
      </c>
      <c r="U61" s="116">
        <f t="shared" si="20"/>
        <v>224619.42338797491</v>
      </c>
      <c r="V61" s="116">
        <f t="shared" si="20"/>
        <v>224619.42338797491</v>
      </c>
      <c r="W61" s="116">
        <f t="shared" si="20"/>
        <v>224619.42338797491</v>
      </c>
      <c r="X61" s="116">
        <f t="shared" si="20"/>
        <v>224619.42338797491</v>
      </c>
      <c r="Y61" s="116">
        <f t="shared" si="20"/>
        <v>224619.42338797491</v>
      </c>
      <c r="Z61" s="116">
        <f t="shared" si="20"/>
        <v>224619.42338797491</v>
      </c>
      <c r="AA61" s="116">
        <f t="shared" si="20"/>
        <v>224619.42338797491</v>
      </c>
      <c r="AB61" s="116">
        <f t="shared" si="20"/>
        <v>224619.42338797491</v>
      </c>
      <c r="AC61" s="116">
        <f t="shared" si="20"/>
        <v>224619.42338797491</v>
      </c>
      <c r="AD61" s="116">
        <f t="shared" si="20"/>
        <v>224619.42338797491</v>
      </c>
      <c r="AE61" s="116">
        <f t="shared" si="20"/>
        <v>224619.42338797491</v>
      </c>
      <c r="AF61" s="116">
        <f t="shared" si="20"/>
        <v>224619.42338797491</v>
      </c>
      <c r="AG61" s="116">
        <f t="shared" si="20"/>
        <v>224619.42338797491</v>
      </c>
      <c r="AH61" s="116">
        <f t="shared" si="20"/>
        <v>224619.42338797491</v>
      </c>
      <c r="AI61" s="116">
        <f t="shared" si="20"/>
        <v>224619.42338797491</v>
      </c>
      <c r="AJ61" s="116">
        <f t="shared" si="20"/>
        <v>224619.42338797491</v>
      </c>
      <c r="AK61" s="116">
        <f t="shared" si="20"/>
        <v>224619.42338797491</v>
      </c>
    </row>
    <row r="62" spans="2:37">
      <c r="B62" s="120" t="s">
        <v>623</v>
      </c>
      <c r="C62" s="120"/>
      <c r="D62" s="120"/>
      <c r="E62" s="120"/>
      <c r="F62" s="120"/>
      <c r="G62" s="120"/>
      <c r="H62" s="121">
        <f>SUM(H56:H61)</f>
        <v>4135540.2517355834</v>
      </c>
      <c r="I62" s="121">
        <f t="shared" ref="I62:AK62" si="21">SUM(I56:I61)</f>
        <v>4135540.2517355834</v>
      </c>
      <c r="J62" s="121">
        <f t="shared" si="21"/>
        <v>4135540.2517355834</v>
      </c>
      <c r="K62" s="121">
        <f t="shared" si="21"/>
        <v>4135540.2517355834</v>
      </c>
      <c r="L62" s="121">
        <f t="shared" si="21"/>
        <v>4135540.2517355834</v>
      </c>
      <c r="M62" s="121">
        <f t="shared" si="21"/>
        <v>4135540.2517355834</v>
      </c>
      <c r="N62" s="121">
        <f t="shared" si="21"/>
        <v>4135540.2517355834</v>
      </c>
      <c r="O62" s="121">
        <f t="shared" si="21"/>
        <v>4135540.2517355834</v>
      </c>
      <c r="P62" s="121">
        <f t="shared" si="21"/>
        <v>4135540.2517355834</v>
      </c>
      <c r="Q62" s="121">
        <f t="shared" si="21"/>
        <v>4135540.2517355834</v>
      </c>
      <c r="R62" s="121">
        <f t="shared" si="21"/>
        <v>4135540.2517355834</v>
      </c>
      <c r="S62" s="121">
        <f t="shared" si="21"/>
        <v>4135540.2517355834</v>
      </c>
      <c r="T62" s="121">
        <f t="shared" si="21"/>
        <v>4135540.2517355834</v>
      </c>
      <c r="U62" s="121">
        <f t="shared" si="21"/>
        <v>4135540.2517355834</v>
      </c>
      <c r="V62" s="121">
        <f t="shared" si="21"/>
        <v>4135540.2517355834</v>
      </c>
      <c r="W62" s="121">
        <f t="shared" si="21"/>
        <v>4135540.2517355834</v>
      </c>
      <c r="X62" s="121">
        <f t="shared" si="21"/>
        <v>4135540.2517355834</v>
      </c>
      <c r="Y62" s="121">
        <f t="shared" si="21"/>
        <v>4135540.2517355834</v>
      </c>
      <c r="Z62" s="121">
        <f t="shared" si="21"/>
        <v>4135540.2517355834</v>
      </c>
      <c r="AA62" s="121">
        <f t="shared" si="21"/>
        <v>4135540.2517355834</v>
      </c>
      <c r="AB62" s="121">
        <f t="shared" si="21"/>
        <v>4135540.2517355834</v>
      </c>
      <c r="AC62" s="121">
        <f t="shared" si="21"/>
        <v>4135540.2517355834</v>
      </c>
      <c r="AD62" s="121">
        <f t="shared" si="21"/>
        <v>4135540.2517355834</v>
      </c>
      <c r="AE62" s="121">
        <f t="shared" si="21"/>
        <v>4135540.2517355834</v>
      </c>
      <c r="AF62" s="121">
        <f t="shared" si="21"/>
        <v>4135540.2517355834</v>
      </c>
      <c r="AG62" s="121">
        <f t="shared" si="21"/>
        <v>4135540.2517355834</v>
      </c>
      <c r="AH62" s="121">
        <f t="shared" si="21"/>
        <v>4135540.2517355834</v>
      </c>
      <c r="AI62" s="121">
        <f t="shared" si="21"/>
        <v>4135540.2517355834</v>
      </c>
      <c r="AJ62" s="121">
        <f t="shared" si="21"/>
        <v>4135540.2517355834</v>
      </c>
      <c r="AK62" s="121">
        <f t="shared" si="21"/>
        <v>4135540.2517355834</v>
      </c>
    </row>
    <row r="63" spans="2:37">
      <c r="B63" s="170"/>
    </row>
    <row r="64" spans="2:37">
      <c r="B64" s="111" t="s">
        <v>524</v>
      </c>
      <c r="H64" s="116">
        <f>H48-H53-H62</f>
        <v>4398629.5965631399</v>
      </c>
      <c r="I64" s="116">
        <f t="shared" ref="I64:AK64" si="22">I48-I53-I62</f>
        <v>4714504.2465631384</v>
      </c>
      <c r="J64" s="116">
        <f t="shared" si="22"/>
        <v>5039855.136063138</v>
      </c>
      <c r="K64" s="116">
        <f t="shared" si="22"/>
        <v>5374966.5522481371</v>
      </c>
      <c r="L64" s="116">
        <f t="shared" si="22"/>
        <v>5720131.3109186869</v>
      </c>
      <c r="M64" s="116">
        <f t="shared" si="22"/>
        <v>6075651.0123493541</v>
      </c>
      <c r="N64" s="116">
        <f t="shared" si="22"/>
        <v>6441836.3048229385</v>
      </c>
      <c r="O64" s="116">
        <f t="shared" si="22"/>
        <v>6819007.1560707334</v>
      </c>
      <c r="P64" s="116">
        <f t="shared" si="22"/>
        <v>7207493.1328559611</v>
      </c>
      <c r="Q64" s="116">
        <f t="shared" si="22"/>
        <v>7607633.6889447439</v>
      </c>
      <c r="R64" s="116">
        <f t="shared" si="22"/>
        <v>8019778.4617161956</v>
      </c>
      <c r="S64" s="116">
        <f t="shared" si="22"/>
        <v>8444287.5776707884</v>
      </c>
      <c r="T64" s="116">
        <f t="shared" si="22"/>
        <v>8881531.9671040159</v>
      </c>
      <c r="U64" s="116">
        <f t="shared" si="22"/>
        <v>9331893.688220242</v>
      </c>
      <c r="V64" s="116">
        <f t="shared" si="22"/>
        <v>9795766.2609699536</v>
      </c>
      <c r="W64" s="116">
        <f t="shared" si="22"/>
        <v>10273555.010902161</v>
      </c>
      <c r="X64" s="116">
        <f t="shared" si="22"/>
        <v>10765677.423332328</v>
      </c>
      <c r="Y64" s="116">
        <f t="shared" si="22"/>
        <v>11272563.508135403</v>
      </c>
      <c r="Z64" s="116">
        <f t="shared" si="22"/>
        <v>11794656.175482573</v>
      </c>
      <c r="AA64" s="116">
        <f t="shared" si="22"/>
        <v>12332411.622850155</v>
      </c>
      <c r="AB64" s="116">
        <f t="shared" si="22"/>
        <v>12886299.733638763</v>
      </c>
      <c r="AC64" s="116">
        <f t="shared" si="22"/>
        <v>13456804.487751029</v>
      </c>
      <c r="AD64" s="116">
        <f t="shared" si="22"/>
        <v>14044424.384486668</v>
      </c>
      <c r="AE64" s="116">
        <f t="shared" si="22"/>
        <v>14649672.878124379</v>
      </c>
      <c r="AF64" s="116">
        <f t="shared" si="22"/>
        <v>15273078.826571211</v>
      </c>
      <c r="AG64" s="116">
        <f t="shared" si="22"/>
        <v>15915186.953471452</v>
      </c>
      <c r="AH64" s="116">
        <f t="shared" si="22"/>
        <v>16576558.324178703</v>
      </c>
      <c r="AI64" s="116">
        <f t="shared" si="22"/>
        <v>17257770.83600717</v>
      </c>
      <c r="AJ64" s="116">
        <f t="shared" si="22"/>
        <v>17959419.723190486</v>
      </c>
      <c r="AK64" s="116">
        <f t="shared" si="22"/>
        <v>18682118.076989308</v>
      </c>
    </row>
    <row r="67" spans="2:37">
      <c r="B67" s="111" t="s">
        <v>6</v>
      </c>
      <c r="G67" s="116">
        <f t="shared" ref="G67:AK67" ca="1" si="23">IF(G35&lt;=$G$25+1,G36+G64,0)</f>
        <v>-45941155.991704263</v>
      </c>
      <c r="H67" s="116">
        <f t="shared" si="23"/>
        <v>4398629.5965631399</v>
      </c>
      <c r="I67" s="116">
        <f t="shared" si="23"/>
        <v>4714504.2465631384</v>
      </c>
      <c r="J67" s="116">
        <f t="shared" si="23"/>
        <v>5039855.136063138</v>
      </c>
      <c r="K67" s="116">
        <f t="shared" si="23"/>
        <v>5374966.5522481371</v>
      </c>
      <c r="L67" s="116">
        <f t="shared" si="23"/>
        <v>5720131.3109186869</v>
      </c>
      <c r="M67" s="116">
        <f t="shared" si="23"/>
        <v>6075651.0123493541</v>
      </c>
      <c r="N67" s="116">
        <f t="shared" si="23"/>
        <v>6441836.3048229385</v>
      </c>
      <c r="O67" s="116">
        <f t="shared" si="23"/>
        <v>6819007.1560707334</v>
      </c>
      <c r="P67" s="116">
        <f t="shared" si="23"/>
        <v>7207493.1328559611</v>
      </c>
      <c r="Q67" s="116">
        <f t="shared" si="23"/>
        <v>7607633.6889447439</v>
      </c>
      <c r="R67" s="116">
        <f t="shared" si="23"/>
        <v>8019778.4617161956</v>
      </c>
      <c r="S67" s="116">
        <f t="shared" si="23"/>
        <v>0</v>
      </c>
      <c r="T67" s="116">
        <f t="shared" si="23"/>
        <v>0</v>
      </c>
      <c r="U67" s="116">
        <f t="shared" si="23"/>
        <v>0</v>
      </c>
      <c r="V67" s="116">
        <f t="shared" si="23"/>
        <v>0</v>
      </c>
      <c r="W67" s="116">
        <f t="shared" si="23"/>
        <v>0</v>
      </c>
      <c r="X67" s="116">
        <f t="shared" si="23"/>
        <v>0</v>
      </c>
      <c r="Y67" s="116">
        <f t="shared" si="23"/>
        <v>0</v>
      </c>
      <c r="Z67" s="116">
        <f t="shared" si="23"/>
        <v>0</v>
      </c>
      <c r="AA67" s="116">
        <f t="shared" si="23"/>
        <v>0</v>
      </c>
      <c r="AB67" s="116">
        <f t="shared" si="23"/>
        <v>0</v>
      </c>
      <c r="AC67" s="116">
        <f t="shared" si="23"/>
        <v>0</v>
      </c>
      <c r="AD67" s="116">
        <f t="shared" si="23"/>
        <v>0</v>
      </c>
      <c r="AE67" s="116">
        <f t="shared" si="23"/>
        <v>0</v>
      </c>
      <c r="AF67" s="116">
        <f t="shared" si="23"/>
        <v>0</v>
      </c>
      <c r="AG67" s="116">
        <f t="shared" si="23"/>
        <v>0</v>
      </c>
      <c r="AH67" s="116">
        <f t="shared" si="23"/>
        <v>0</v>
      </c>
      <c r="AI67" s="116">
        <f t="shared" si="23"/>
        <v>0</v>
      </c>
      <c r="AJ67" s="116">
        <f t="shared" si="23"/>
        <v>0</v>
      </c>
      <c r="AK67" s="116">
        <f t="shared" si="23"/>
        <v>0</v>
      </c>
    </row>
    <row r="68" spans="2:37"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</row>
    <row r="69" spans="2:37">
      <c r="B69" s="111" t="s">
        <v>525</v>
      </c>
      <c r="H69" s="116">
        <f t="shared" ref="H69:AK69" si="24">IF(H35=$G$25,I67/$G$24,0)</f>
        <v>0</v>
      </c>
      <c r="I69" s="116">
        <f t="shared" si="24"/>
        <v>0</v>
      </c>
      <c r="J69" s="116">
        <f t="shared" si="24"/>
        <v>0</v>
      </c>
      <c r="K69" s="116">
        <f t="shared" si="24"/>
        <v>0</v>
      </c>
      <c r="L69" s="116">
        <f t="shared" si="24"/>
        <v>0</v>
      </c>
      <c r="M69" s="116">
        <f t="shared" si="24"/>
        <v>0</v>
      </c>
      <c r="N69" s="116">
        <f t="shared" si="24"/>
        <v>0</v>
      </c>
      <c r="O69" s="116">
        <f t="shared" si="24"/>
        <v>0</v>
      </c>
      <c r="P69" s="116">
        <f t="shared" si="24"/>
        <v>0</v>
      </c>
      <c r="Q69" s="116">
        <f t="shared" si="24"/>
        <v>114568263.73880278</v>
      </c>
      <c r="R69" s="116">
        <f t="shared" si="24"/>
        <v>0</v>
      </c>
      <c r="S69" s="116">
        <f t="shared" si="24"/>
        <v>0</v>
      </c>
      <c r="T69" s="116">
        <f t="shared" si="24"/>
        <v>0</v>
      </c>
      <c r="U69" s="116">
        <f t="shared" si="24"/>
        <v>0</v>
      </c>
      <c r="V69" s="116">
        <f t="shared" si="24"/>
        <v>0</v>
      </c>
      <c r="W69" s="116">
        <f t="shared" si="24"/>
        <v>0</v>
      </c>
      <c r="X69" s="116">
        <f t="shared" si="24"/>
        <v>0</v>
      </c>
      <c r="Y69" s="116">
        <f t="shared" si="24"/>
        <v>0</v>
      </c>
      <c r="Z69" s="116">
        <f t="shared" si="24"/>
        <v>0</v>
      </c>
      <c r="AA69" s="116">
        <f t="shared" si="24"/>
        <v>0</v>
      </c>
      <c r="AB69" s="116">
        <f t="shared" si="24"/>
        <v>0</v>
      </c>
      <c r="AC69" s="116">
        <f t="shared" si="24"/>
        <v>0</v>
      </c>
      <c r="AD69" s="116">
        <f t="shared" si="24"/>
        <v>0</v>
      </c>
      <c r="AE69" s="116">
        <f t="shared" si="24"/>
        <v>0</v>
      </c>
      <c r="AF69" s="116">
        <f t="shared" si="24"/>
        <v>0</v>
      </c>
      <c r="AG69" s="116">
        <f t="shared" si="24"/>
        <v>0</v>
      </c>
      <c r="AH69" s="116">
        <f t="shared" si="24"/>
        <v>0</v>
      </c>
      <c r="AI69" s="116">
        <f t="shared" si="24"/>
        <v>0</v>
      </c>
      <c r="AJ69" s="116">
        <f t="shared" si="24"/>
        <v>0</v>
      </c>
      <c r="AK69" s="116">
        <f t="shared" si="24"/>
        <v>0</v>
      </c>
    </row>
    <row r="70" spans="2:37">
      <c r="B70" s="111" t="s">
        <v>393</v>
      </c>
      <c r="H70" s="116">
        <f t="shared" ref="H70:AK70" si="25">-H69*$G$26</f>
        <v>0</v>
      </c>
      <c r="I70" s="116">
        <f t="shared" si="25"/>
        <v>0</v>
      </c>
      <c r="J70" s="116">
        <f t="shared" si="25"/>
        <v>0</v>
      </c>
      <c r="K70" s="116">
        <f t="shared" si="25"/>
        <v>0</v>
      </c>
      <c r="L70" s="116">
        <f t="shared" si="25"/>
        <v>0</v>
      </c>
      <c r="M70" s="116">
        <f t="shared" si="25"/>
        <v>0</v>
      </c>
      <c r="N70" s="116">
        <f t="shared" si="25"/>
        <v>0</v>
      </c>
      <c r="O70" s="116">
        <f t="shared" si="25"/>
        <v>0</v>
      </c>
      <c r="P70" s="116">
        <f t="shared" si="25"/>
        <v>0</v>
      </c>
      <c r="Q70" s="116">
        <f t="shared" si="25"/>
        <v>0</v>
      </c>
      <c r="R70" s="116">
        <f t="shared" si="25"/>
        <v>0</v>
      </c>
      <c r="S70" s="116">
        <f t="shared" si="25"/>
        <v>0</v>
      </c>
      <c r="T70" s="116">
        <f t="shared" si="25"/>
        <v>0</v>
      </c>
      <c r="U70" s="116">
        <f t="shared" si="25"/>
        <v>0</v>
      </c>
      <c r="V70" s="116">
        <f t="shared" si="25"/>
        <v>0</v>
      </c>
      <c r="W70" s="116">
        <f t="shared" si="25"/>
        <v>0</v>
      </c>
      <c r="X70" s="116">
        <f t="shared" si="25"/>
        <v>0</v>
      </c>
      <c r="Y70" s="116">
        <f t="shared" si="25"/>
        <v>0</v>
      </c>
      <c r="Z70" s="116">
        <f t="shared" si="25"/>
        <v>0</v>
      </c>
      <c r="AA70" s="116">
        <f t="shared" si="25"/>
        <v>0</v>
      </c>
      <c r="AB70" s="116">
        <f t="shared" si="25"/>
        <v>0</v>
      </c>
      <c r="AC70" s="116">
        <f t="shared" si="25"/>
        <v>0</v>
      </c>
      <c r="AD70" s="116">
        <f t="shared" si="25"/>
        <v>0</v>
      </c>
      <c r="AE70" s="116">
        <f t="shared" si="25"/>
        <v>0</v>
      </c>
      <c r="AF70" s="116">
        <f t="shared" si="25"/>
        <v>0</v>
      </c>
      <c r="AG70" s="116">
        <f t="shared" si="25"/>
        <v>0</v>
      </c>
      <c r="AH70" s="116">
        <f t="shared" si="25"/>
        <v>0</v>
      </c>
      <c r="AI70" s="116">
        <f t="shared" si="25"/>
        <v>0</v>
      </c>
      <c r="AJ70" s="116">
        <f t="shared" si="25"/>
        <v>0</v>
      </c>
      <c r="AK70" s="116">
        <f t="shared" si="25"/>
        <v>0</v>
      </c>
    </row>
    <row r="71" spans="2:37">
      <c r="B71" s="120" t="s">
        <v>526</v>
      </c>
      <c r="C71" s="120"/>
      <c r="D71" s="120"/>
      <c r="E71" s="120"/>
      <c r="F71" s="120"/>
      <c r="G71" s="121">
        <f ca="1">SUM(G67:G70)</f>
        <v>-45941155.991704263</v>
      </c>
      <c r="H71" s="121">
        <f t="shared" ref="H71:AK71" si="26">SUM(H67:H70)</f>
        <v>4398629.5965631399</v>
      </c>
      <c r="I71" s="121">
        <f t="shared" si="26"/>
        <v>4714504.2465631384</v>
      </c>
      <c r="J71" s="121">
        <f t="shared" si="26"/>
        <v>5039855.136063138</v>
      </c>
      <c r="K71" s="121">
        <f t="shared" si="26"/>
        <v>5374966.5522481371</v>
      </c>
      <c r="L71" s="121">
        <f t="shared" si="26"/>
        <v>5720131.3109186869</v>
      </c>
      <c r="M71" s="121">
        <f t="shared" si="26"/>
        <v>6075651.0123493541</v>
      </c>
      <c r="N71" s="121">
        <f t="shared" si="26"/>
        <v>6441836.3048229385</v>
      </c>
      <c r="O71" s="121">
        <f t="shared" si="26"/>
        <v>6819007.1560707334</v>
      </c>
      <c r="P71" s="121">
        <f t="shared" si="26"/>
        <v>7207493.1328559611</v>
      </c>
      <c r="Q71" s="121">
        <f t="shared" si="26"/>
        <v>122175897.42774752</v>
      </c>
      <c r="R71" s="121">
        <f t="shared" si="26"/>
        <v>8019778.4617161956</v>
      </c>
      <c r="S71" s="121">
        <f t="shared" si="26"/>
        <v>0</v>
      </c>
      <c r="T71" s="121">
        <f t="shared" si="26"/>
        <v>0</v>
      </c>
      <c r="U71" s="121">
        <f t="shared" si="26"/>
        <v>0</v>
      </c>
      <c r="V71" s="121">
        <f t="shared" si="26"/>
        <v>0</v>
      </c>
      <c r="W71" s="121">
        <f t="shared" si="26"/>
        <v>0</v>
      </c>
      <c r="X71" s="121">
        <f t="shared" si="26"/>
        <v>0</v>
      </c>
      <c r="Y71" s="121">
        <f t="shared" si="26"/>
        <v>0</v>
      </c>
      <c r="Z71" s="121">
        <f t="shared" si="26"/>
        <v>0</v>
      </c>
      <c r="AA71" s="121">
        <f t="shared" si="26"/>
        <v>0</v>
      </c>
      <c r="AB71" s="121">
        <f t="shared" si="26"/>
        <v>0</v>
      </c>
      <c r="AC71" s="121">
        <f t="shared" si="26"/>
        <v>0</v>
      </c>
      <c r="AD71" s="121">
        <f t="shared" si="26"/>
        <v>0</v>
      </c>
      <c r="AE71" s="121">
        <f t="shared" si="26"/>
        <v>0</v>
      </c>
      <c r="AF71" s="121">
        <f t="shared" si="26"/>
        <v>0</v>
      </c>
      <c r="AG71" s="121">
        <f t="shared" si="26"/>
        <v>0</v>
      </c>
      <c r="AH71" s="121">
        <f t="shared" si="26"/>
        <v>0</v>
      </c>
      <c r="AI71" s="121">
        <f t="shared" si="26"/>
        <v>0</v>
      </c>
      <c r="AJ71" s="121">
        <f t="shared" si="26"/>
        <v>0</v>
      </c>
      <c r="AK71" s="121">
        <f t="shared" si="26"/>
        <v>0</v>
      </c>
    </row>
    <row r="72" spans="2:37" ht="15" thickBot="1"/>
    <row r="73" spans="2:37">
      <c r="B73" s="132" t="s">
        <v>527</v>
      </c>
      <c r="C73" s="133"/>
      <c r="D73" s="133"/>
      <c r="E73" s="133"/>
      <c r="F73" s="133"/>
      <c r="G73" s="134">
        <f ca="1">SUM(G71:R71)</f>
        <v>136046594.34621468</v>
      </c>
    </row>
    <row r="74" spans="2:37">
      <c r="B74" s="135" t="s">
        <v>528</v>
      </c>
      <c r="G74" s="136">
        <f>NPV($L$21,H71:R71)</f>
        <v>94867022.652389139</v>
      </c>
    </row>
    <row r="75" spans="2:37">
      <c r="B75" s="135" t="s">
        <v>529</v>
      </c>
      <c r="G75" s="136">
        <f ca="1">G74+G71</f>
        <v>48925866.660684876</v>
      </c>
    </row>
    <row r="76" spans="2:37">
      <c r="B76" s="135" t="s">
        <v>530</v>
      </c>
      <c r="G76" s="137">
        <f ca="1">IRR(G71:R71)</f>
        <v>0.18650485099775227</v>
      </c>
    </row>
    <row r="77" spans="2:37" ht="15" thickBot="1">
      <c r="B77" s="138" t="s">
        <v>531</v>
      </c>
      <c r="C77" s="139"/>
      <c r="D77" s="139"/>
      <c r="E77" s="139"/>
      <c r="F77" s="139"/>
      <c r="G77" s="140">
        <f ca="1">(G73/-G71)+1</f>
        <v>3.9613228359073296</v>
      </c>
    </row>
    <row r="79" spans="2:37">
      <c r="B79" s="111" t="s">
        <v>532</v>
      </c>
      <c r="G79" s="116">
        <f ca="1">G32</f>
        <v>32158809.194192983</v>
      </c>
    </row>
    <row r="80" spans="2:37">
      <c r="B80" s="111" t="s">
        <v>533</v>
      </c>
      <c r="H80" s="116">
        <f t="shared" ref="H80:AK80" si="27">IF(H35=$G$25,FV($G$30/12,H35*12,$G$33,$G$32),0)</f>
        <v>0</v>
      </c>
      <c r="I80" s="116">
        <f t="shared" si="27"/>
        <v>0</v>
      </c>
      <c r="J80" s="116">
        <f t="shared" si="27"/>
        <v>0</v>
      </c>
      <c r="K80" s="116">
        <f t="shared" si="27"/>
        <v>0</v>
      </c>
      <c r="L80" s="116">
        <f t="shared" si="27"/>
        <v>0</v>
      </c>
      <c r="M80" s="116">
        <f t="shared" si="27"/>
        <v>0</v>
      </c>
      <c r="N80" s="116">
        <f t="shared" si="27"/>
        <v>0</v>
      </c>
      <c r="O80" s="116">
        <f t="shared" si="27"/>
        <v>0</v>
      </c>
      <c r="P80" s="116">
        <f t="shared" si="27"/>
        <v>0</v>
      </c>
      <c r="Q80" s="116">
        <f t="shared" ca="1" si="27"/>
        <v>-26158639.314593326</v>
      </c>
      <c r="R80" s="116">
        <f t="shared" si="27"/>
        <v>0</v>
      </c>
      <c r="S80" s="116">
        <f t="shared" si="27"/>
        <v>0</v>
      </c>
      <c r="T80" s="116">
        <f t="shared" si="27"/>
        <v>0</v>
      </c>
      <c r="U80" s="116">
        <f t="shared" si="27"/>
        <v>0</v>
      </c>
      <c r="V80" s="116">
        <f t="shared" si="27"/>
        <v>0</v>
      </c>
      <c r="W80" s="116">
        <f t="shared" si="27"/>
        <v>0</v>
      </c>
      <c r="X80" s="116">
        <f t="shared" si="27"/>
        <v>0</v>
      </c>
      <c r="Y80" s="116">
        <f t="shared" si="27"/>
        <v>0</v>
      </c>
      <c r="Z80" s="116">
        <f t="shared" si="27"/>
        <v>0</v>
      </c>
      <c r="AA80" s="116">
        <f t="shared" si="27"/>
        <v>0</v>
      </c>
      <c r="AB80" s="116">
        <f t="shared" si="27"/>
        <v>0</v>
      </c>
      <c r="AC80" s="116">
        <f t="shared" si="27"/>
        <v>0</v>
      </c>
      <c r="AD80" s="116">
        <f t="shared" si="27"/>
        <v>0</v>
      </c>
      <c r="AE80" s="116">
        <f t="shared" si="27"/>
        <v>0</v>
      </c>
      <c r="AF80" s="116">
        <f t="shared" si="27"/>
        <v>0</v>
      </c>
      <c r="AG80" s="116">
        <f t="shared" si="27"/>
        <v>0</v>
      </c>
      <c r="AH80" s="116">
        <f t="shared" si="27"/>
        <v>0</v>
      </c>
      <c r="AI80" s="116">
        <f t="shared" si="27"/>
        <v>0</v>
      </c>
      <c r="AJ80" s="116">
        <f t="shared" si="27"/>
        <v>0</v>
      </c>
      <c r="AK80" s="116">
        <f t="shared" si="27"/>
        <v>0</v>
      </c>
    </row>
    <row r="81" spans="1:37">
      <c r="B81" s="111" t="s">
        <v>534</v>
      </c>
      <c r="H81" s="116">
        <f t="shared" ref="H81:AK81" ca="1" si="28">IF(H35&lt;=$G$25,$G$33*12,0)</f>
        <v>-2071625.2974917251</v>
      </c>
      <c r="I81" s="116">
        <f t="shared" ca="1" si="28"/>
        <v>-2071625.2974917251</v>
      </c>
      <c r="J81" s="116">
        <f t="shared" ca="1" si="28"/>
        <v>-2071625.2974917251</v>
      </c>
      <c r="K81" s="116">
        <f t="shared" ca="1" si="28"/>
        <v>-2071625.2974917251</v>
      </c>
      <c r="L81" s="116">
        <f t="shared" ca="1" si="28"/>
        <v>-2071625.2974917251</v>
      </c>
      <c r="M81" s="116">
        <f t="shared" ca="1" si="28"/>
        <v>-2071625.2974917251</v>
      </c>
      <c r="N81" s="116">
        <f t="shared" ca="1" si="28"/>
        <v>-2071625.2974917251</v>
      </c>
      <c r="O81" s="116">
        <f t="shared" ca="1" si="28"/>
        <v>-2071625.2974917251</v>
      </c>
      <c r="P81" s="116">
        <f t="shared" ca="1" si="28"/>
        <v>-2071625.2974917251</v>
      </c>
      <c r="Q81" s="116">
        <f t="shared" ca="1" si="28"/>
        <v>-2071625.2974917251</v>
      </c>
      <c r="R81" s="116">
        <f t="shared" si="28"/>
        <v>0</v>
      </c>
      <c r="S81" s="116">
        <f t="shared" si="28"/>
        <v>0</v>
      </c>
      <c r="T81" s="116">
        <f t="shared" si="28"/>
        <v>0</v>
      </c>
      <c r="U81" s="116">
        <f t="shared" si="28"/>
        <v>0</v>
      </c>
      <c r="V81" s="116">
        <f t="shared" si="28"/>
        <v>0</v>
      </c>
      <c r="W81" s="116">
        <f t="shared" si="28"/>
        <v>0</v>
      </c>
      <c r="X81" s="116">
        <f t="shared" si="28"/>
        <v>0</v>
      </c>
      <c r="Y81" s="116">
        <f t="shared" si="28"/>
        <v>0</v>
      </c>
      <c r="Z81" s="116">
        <f t="shared" si="28"/>
        <v>0</v>
      </c>
      <c r="AA81" s="116">
        <f t="shared" si="28"/>
        <v>0</v>
      </c>
      <c r="AB81" s="116">
        <f t="shared" si="28"/>
        <v>0</v>
      </c>
      <c r="AC81" s="116">
        <f t="shared" si="28"/>
        <v>0</v>
      </c>
      <c r="AD81" s="116">
        <f t="shared" si="28"/>
        <v>0</v>
      </c>
      <c r="AE81" s="116">
        <f t="shared" si="28"/>
        <v>0</v>
      </c>
      <c r="AF81" s="116">
        <f t="shared" si="28"/>
        <v>0</v>
      </c>
      <c r="AG81" s="116">
        <f t="shared" si="28"/>
        <v>0</v>
      </c>
      <c r="AH81" s="116">
        <f t="shared" si="28"/>
        <v>0</v>
      </c>
      <c r="AI81" s="116">
        <f t="shared" si="28"/>
        <v>0</v>
      </c>
      <c r="AJ81" s="116">
        <f t="shared" si="28"/>
        <v>0</v>
      </c>
      <c r="AK81" s="116">
        <f t="shared" si="28"/>
        <v>0</v>
      </c>
    </row>
    <row r="83" spans="1:37">
      <c r="B83" s="111" t="s">
        <v>535</v>
      </c>
      <c r="G83" s="116">
        <f t="shared" ref="G83:AK83" ca="1" si="29">IF(G35&lt;=$G$25,SUM(G71,G79:G81),0)</f>
        <v>-13782346.79751128</v>
      </c>
      <c r="H83" s="116">
        <f t="shared" ca="1" si="29"/>
        <v>2327004.2990714149</v>
      </c>
      <c r="I83" s="116">
        <f t="shared" ca="1" si="29"/>
        <v>2642878.9490714134</v>
      </c>
      <c r="J83" s="116">
        <f t="shared" ca="1" si="29"/>
        <v>2968229.838571413</v>
      </c>
      <c r="K83" s="116">
        <f t="shared" ca="1" si="29"/>
        <v>3303341.254756412</v>
      </c>
      <c r="L83" s="116">
        <f t="shared" ca="1" si="29"/>
        <v>3648506.0134269618</v>
      </c>
      <c r="M83" s="116">
        <f t="shared" ca="1" si="29"/>
        <v>4004025.714857629</v>
      </c>
      <c r="N83" s="116">
        <f t="shared" ca="1" si="29"/>
        <v>4370211.007331213</v>
      </c>
      <c r="O83" s="116">
        <f t="shared" ca="1" si="29"/>
        <v>4747381.8585790079</v>
      </c>
      <c r="P83" s="116">
        <f t="shared" ca="1" si="29"/>
        <v>5135867.8353642356</v>
      </c>
      <c r="Q83" s="116">
        <f t="shared" ca="1" si="29"/>
        <v>93945632.815662459</v>
      </c>
      <c r="R83" s="116">
        <f t="shared" si="29"/>
        <v>0</v>
      </c>
      <c r="S83" s="116">
        <f t="shared" si="29"/>
        <v>0</v>
      </c>
      <c r="T83" s="116">
        <f t="shared" si="29"/>
        <v>0</v>
      </c>
      <c r="U83" s="116">
        <f t="shared" si="29"/>
        <v>0</v>
      </c>
      <c r="V83" s="116">
        <f t="shared" si="29"/>
        <v>0</v>
      </c>
      <c r="W83" s="116">
        <f t="shared" si="29"/>
        <v>0</v>
      </c>
      <c r="X83" s="116">
        <f t="shared" si="29"/>
        <v>0</v>
      </c>
      <c r="Y83" s="116">
        <f t="shared" si="29"/>
        <v>0</v>
      </c>
      <c r="Z83" s="116">
        <f t="shared" si="29"/>
        <v>0</v>
      </c>
      <c r="AA83" s="116">
        <f t="shared" si="29"/>
        <v>0</v>
      </c>
      <c r="AB83" s="116">
        <f t="shared" si="29"/>
        <v>0</v>
      </c>
      <c r="AC83" s="116">
        <f t="shared" si="29"/>
        <v>0</v>
      </c>
      <c r="AD83" s="116">
        <f t="shared" si="29"/>
        <v>0</v>
      </c>
      <c r="AE83" s="116">
        <f t="shared" si="29"/>
        <v>0</v>
      </c>
      <c r="AF83" s="116">
        <f t="shared" si="29"/>
        <v>0</v>
      </c>
      <c r="AG83" s="116">
        <f t="shared" si="29"/>
        <v>0</v>
      </c>
      <c r="AH83" s="116">
        <f t="shared" si="29"/>
        <v>0</v>
      </c>
      <c r="AI83" s="116">
        <f t="shared" si="29"/>
        <v>0</v>
      </c>
      <c r="AJ83" s="116">
        <f t="shared" si="29"/>
        <v>0</v>
      </c>
      <c r="AK83" s="116">
        <f t="shared" si="29"/>
        <v>0</v>
      </c>
    </row>
    <row r="84" spans="1:37" ht="15" thickBot="1"/>
    <row r="85" spans="1:37">
      <c r="B85" s="132" t="s">
        <v>527</v>
      </c>
      <c r="C85" s="133"/>
      <c r="D85" s="133"/>
      <c r="E85" s="133"/>
      <c r="F85" s="133"/>
      <c r="G85" s="134">
        <f ca="1">SUM(G83:R83)</f>
        <v>113310732.78918087</v>
      </c>
    </row>
    <row r="86" spans="1:37">
      <c r="B86" s="135" t="s">
        <v>528</v>
      </c>
      <c r="G86" s="136">
        <f ca="1">NPV($L$21,H83:R83)</f>
        <v>65410191.37252225</v>
      </c>
    </row>
    <row r="87" spans="1:37">
      <c r="B87" s="135" t="s">
        <v>529</v>
      </c>
      <c r="G87" s="136">
        <f ca="1">G86+G83</f>
        <v>51627844.57501097</v>
      </c>
    </row>
    <row r="88" spans="1:37">
      <c r="B88" s="135" t="s">
        <v>536</v>
      </c>
      <c r="G88" s="141">
        <f ca="1">IRR(G83:R83)</f>
        <v>0.3342725079161537</v>
      </c>
    </row>
    <row r="89" spans="1:37" ht="15" thickBot="1">
      <c r="B89" s="138" t="s">
        <v>531</v>
      </c>
      <c r="C89" s="139"/>
      <c r="D89" s="139"/>
      <c r="E89" s="139"/>
      <c r="F89" s="139"/>
      <c r="G89" s="140">
        <f ca="1">(G85/-G83)+1</f>
        <v>9.2214396759804167</v>
      </c>
    </row>
    <row r="91" spans="1:37">
      <c r="A91" s="111" t="s">
        <v>472</v>
      </c>
      <c r="B91" s="265" t="s">
        <v>588</v>
      </c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6"/>
      <c r="Q91" s="265"/>
      <c r="R91" s="265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</row>
    <row r="92" spans="1:37">
      <c r="F92" s="175" t="s">
        <v>589</v>
      </c>
      <c r="G92" s="175"/>
      <c r="H92" s="175"/>
      <c r="I92" s="175"/>
      <c r="J92" s="175"/>
      <c r="P92" s="111"/>
    </row>
    <row r="93" spans="1:37">
      <c r="E93" s="143">
        <f ca="1">G88</f>
        <v>0.3342725079161537</v>
      </c>
      <c r="F93" s="175">
        <v>3</v>
      </c>
      <c r="G93" s="175">
        <v>4</v>
      </c>
      <c r="H93" s="175">
        <v>5</v>
      </c>
      <c r="I93" s="175">
        <v>6</v>
      </c>
      <c r="J93" s="175">
        <v>7</v>
      </c>
      <c r="P93" s="111"/>
    </row>
    <row r="94" spans="1:37">
      <c r="C94" s="699" t="s">
        <v>390</v>
      </c>
      <c r="D94" s="699"/>
      <c r="E94" s="144">
        <v>0.05</v>
      </c>
      <c r="F94" s="145">
        <f t="dataTable" ref="F94:J98" dt2D="1" dtr="1" r1="G25" r2="G24" ca="1"/>
        <v>0.89047837194727464</v>
      </c>
      <c r="G94" s="146">
        <v>0.68556527993881455</v>
      </c>
      <c r="H94" s="146">
        <v>0.57292859236447491</v>
      </c>
      <c r="I94" s="146">
        <v>0.50179963871442346</v>
      </c>
      <c r="J94" s="147">
        <v>0.45288570698278829</v>
      </c>
      <c r="P94" s="111"/>
    </row>
    <row r="95" spans="1:37">
      <c r="C95" s="699"/>
      <c r="D95" s="699"/>
      <c r="E95" s="144">
        <v>5.2499999999999998E-2</v>
      </c>
      <c r="F95" s="148">
        <v>0.85211653758596118</v>
      </c>
      <c r="G95" s="145">
        <v>0.66157261829610103</v>
      </c>
      <c r="H95" s="146">
        <v>0.55617027957265797</v>
      </c>
      <c r="I95" s="147">
        <v>0.48932330981991079</v>
      </c>
      <c r="J95" s="149">
        <v>0.44320853048234743</v>
      </c>
      <c r="P95" s="111"/>
    </row>
    <row r="96" spans="1:37">
      <c r="C96" s="699"/>
      <c r="D96" s="699"/>
      <c r="E96" s="144">
        <v>5.5E-2</v>
      </c>
      <c r="F96" s="148">
        <v>0.81572802094320207</v>
      </c>
      <c r="G96" s="148">
        <v>0.63875352352115966</v>
      </c>
      <c r="H96" s="150">
        <v>0.54022476379329132</v>
      </c>
      <c r="I96" s="149">
        <v>0.47745905942826727</v>
      </c>
      <c r="J96" s="149">
        <v>0.43401636933371468</v>
      </c>
      <c r="K96" s="128"/>
      <c r="P96" s="111"/>
    </row>
    <row r="97" spans="3:16">
      <c r="C97" s="699"/>
      <c r="D97" s="699"/>
      <c r="E97" s="144">
        <v>5.7500000000000002E-2</v>
      </c>
      <c r="F97" s="148">
        <v>0.78110466138054524</v>
      </c>
      <c r="G97" s="151">
        <v>0.61698828254379379</v>
      </c>
      <c r="H97" s="152">
        <v>0.52501122838089231</v>
      </c>
      <c r="I97" s="153">
        <v>0.46614716447452542</v>
      </c>
      <c r="J97" s="149">
        <v>0.42526249788862946</v>
      </c>
      <c r="P97" s="111"/>
    </row>
    <row r="98" spans="3:16">
      <c r="C98" s="699"/>
      <c r="D98" s="699"/>
      <c r="E98" s="144">
        <v>0.06</v>
      </c>
      <c r="F98" s="151">
        <v>0.74806715668691659</v>
      </c>
      <c r="G98" s="152">
        <v>0.59617347338197835</v>
      </c>
      <c r="H98" s="152">
        <v>0.5104597602548604</v>
      </c>
      <c r="I98" s="152">
        <v>0.45533592117166721</v>
      </c>
      <c r="J98" s="153">
        <v>0.41690644523622344</v>
      </c>
      <c r="P98" s="111"/>
    </row>
  </sheetData>
  <mergeCells count="1">
    <mergeCell ref="C94:D98"/>
  </mergeCells>
  <conditionalFormatting sqref="F94:J9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6F4A9-DB0F-4BFE-85DB-1CD3DDD7EA8A}">
  <sheetPr>
    <tabColor rgb="FFFFC000"/>
  </sheetPr>
  <dimension ref="A2:AK99"/>
  <sheetViews>
    <sheetView showGridLines="0" view="pageBreakPreview" zoomScale="80" zoomScaleNormal="100" zoomScaleSheetLayoutView="80" workbookViewId="0"/>
  </sheetViews>
  <sheetFormatPr defaultRowHeight="14.4"/>
  <cols>
    <col min="1" max="4" width="1.6640625" style="111" customWidth="1"/>
    <col min="5" max="5" width="8.88671875" style="111"/>
    <col min="6" max="6" width="8.88671875" style="111" customWidth="1"/>
    <col min="7" max="7" width="16.33203125" style="111" customWidth="1"/>
    <col min="8" max="8" width="12.5546875" style="111" bestFit="1" customWidth="1"/>
    <col min="9" max="9" width="11.5546875" style="111" bestFit="1" customWidth="1"/>
    <col min="10" max="10" width="13.6640625" style="111" bestFit="1" customWidth="1"/>
    <col min="11" max="12" width="12.5546875" style="111" bestFit="1" customWidth="1"/>
    <col min="13" max="14" width="11.88671875" style="111" bestFit="1" customWidth="1"/>
    <col min="15" max="15" width="12.109375" style="111" bestFit="1" customWidth="1"/>
    <col min="16" max="16" width="13" style="175" customWidth="1"/>
    <col min="17" max="17" width="12.44140625" style="111" bestFit="1" customWidth="1"/>
    <col min="18" max="18" width="13.109375" style="111" bestFit="1" customWidth="1"/>
    <col min="19" max="21" width="8.88671875" style="111"/>
    <col min="22" max="22" width="14.109375" style="111" bestFit="1" customWidth="1"/>
    <col min="23" max="16384" width="8.88671875" style="111"/>
  </cols>
  <sheetData>
    <row r="2" spans="1:19">
      <c r="P2" s="565"/>
    </row>
    <row r="3" spans="1:19">
      <c r="P3" s="565"/>
    </row>
    <row r="4" spans="1:19">
      <c r="P4" s="565"/>
    </row>
    <row r="5" spans="1:19">
      <c r="P5" s="565"/>
    </row>
    <row r="6" spans="1:19">
      <c r="P6" s="565"/>
    </row>
    <row r="7" spans="1:19">
      <c r="P7" s="565"/>
    </row>
    <row r="8" spans="1:19">
      <c r="B8" s="445" t="s">
        <v>762</v>
      </c>
      <c r="P8" s="420"/>
    </row>
    <row r="9" spans="1:19" ht="15.6">
      <c r="B9" s="446" t="s">
        <v>767</v>
      </c>
      <c r="P9" s="420"/>
    </row>
    <row r="11" spans="1:19">
      <c r="A11" s="111" t="s">
        <v>472</v>
      </c>
      <c r="B11" s="265" t="s">
        <v>473</v>
      </c>
      <c r="C11" s="265"/>
      <c r="D11" s="265"/>
      <c r="E11" s="265"/>
      <c r="F11" s="265"/>
      <c r="G11" s="265"/>
      <c r="H11" s="265"/>
      <c r="I11" s="114"/>
      <c r="J11" s="265" t="s">
        <v>555</v>
      </c>
      <c r="K11" s="265"/>
      <c r="L11" s="265"/>
      <c r="M11" s="265"/>
      <c r="N11" s="266" t="s">
        <v>556</v>
      </c>
      <c r="P11" s="265" t="s">
        <v>449</v>
      </c>
      <c r="Q11" s="265"/>
      <c r="R11" s="265"/>
    </row>
    <row r="12" spans="1:19">
      <c r="B12" s="111" t="s">
        <v>557</v>
      </c>
      <c r="G12" s="348">
        <f>'Area Matrix'!D45</f>
        <v>209097.00000000003</v>
      </c>
      <c r="J12" s="111" t="s">
        <v>509</v>
      </c>
      <c r="M12" s="116">
        <f>G12*G18</f>
        <v>6394186.2600000007</v>
      </c>
      <c r="N12" s="117">
        <f>M12/G12</f>
        <v>30.58</v>
      </c>
      <c r="P12" s="111" t="s">
        <v>591</v>
      </c>
      <c r="R12" s="157">
        <f ca="1">SUM('Area Matrix'!D60,'Area Matrix'!H60,'Area Matrix'!L60,'Area Matrix'!P60,'Area Matrix'!T60)</f>
        <v>56357641.061013132</v>
      </c>
    </row>
    <row r="13" spans="1:19">
      <c r="B13" s="346" t="s">
        <v>692</v>
      </c>
      <c r="G13" s="348">
        <f>'Phase I - CF Retail'!G13</f>
        <v>2500</v>
      </c>
      <c r="J13" s="111" t="s">
        <v>521</v>
      </c>
      <c r="M13" s="116">
        <f>-M12*G21</f>
        <v>-639418.62600000016</v>
      </c>
      <c r="N13" s="175"/>
      <c r="P13" s="118" t="s">
        <v>507</v>
      </c>
      <c r="R13" s="157">
        <f ca="1">R12*G28</f>
        <v>0</v>
      </c>
    </row>
    <row r="14" spans="1:19">
      <c r="B14" s="346" t="s">
        <v>693</v>
      </c>
      <c r="G14" s="348">
        <f>G12/G13</f>
        <v>83.638800000000018</v>
      </c>
      <c r="J14" s="120" t="s">
        <v>522</v>
      </c>
      <c r="K14" s="120"/>
      <c r="L14" s="120"/>
      <c r="M14" s="121">
        <f>M12+M13</f>
        <v>5754767.6340000005</v>
      </c>
      <c r="N14" s="122"/>
      <c r="P14" s="123" t="s">
        <v>453</v>
      </c>
      <c r="Q14" s="120"/>
      <c r="R14" s="121">
        <f ca="1">SUM(R12:R13)</f>
        <v>56357641.061013132</v>
      </c>
    </row>
    <row r="15" spans="1:19">
      <c r="N15" s="175"/>
      <c r="S15" s="119"/>
    </row>
    <row r="16" spans="1:19">
      <c r="B16" s="265" t="s">
        <v>558</v>
      </c>
      <c r="C16" s="265"/>
      <c r="D16" s="265"/>
      <c r="E16" s="265"/>
      <c r="F16" s="265"/>
      <c r="G16" s="265"/>
      <c r="H16" s="265"/>
      <c r="I16" s="114"/>
      <c r="J16" s="126" t="s">
        <v>11</v>
      </c>
      <c r="N16" s="175"/>
      <c r="P16" s="265" t="s">
        <v>499</v>
      </c>
      <c r="Q16" s="265"/>
      <c r="R16" s="265"/>
      <c r="S16" s="124"/>
    </row>
    <row r="17" spans="2:18">
      <c r="B17" s="111" t="s">
        <v>559</v>
      </c>
      <c r="G17" s="577">
        <v>15</v>
      </c>
      <c r="H17" s="111" t="s">
        <v>560</v>
      </c>
      <c r="J17" s="111" t="s">
        <v>565</v>
      </c>
      <c r="M17" s="116">
        <f>N17*$G$12</f>
        <v>313645.50000000006</v>
      </c>
      <c r="N17" s="575">
        <v>1.5</v>
      </c>
      <c r="P17" s="118" t="s">
        <v>478</v>
      </c>
      <c r="R17" s="116">
        <f ca="1">G34</f>
        <v>39450348.74270919</v>
      </c>
    </row>
    <row r="18" spans="2:18">
      <c r="B18" s="111" t="s">
        <v>561</v>
      </c>
      <c r="G18" s="577">
        <v>30.58</v>
      </c>
      <c r="H18" s="111" t="s">
        <v>562</v>
      </c>
      <c r="J18" s="111" t="s">
        <v>567</v>
      </c>
      <c r="M18" s="116">
        <f>N18*$G$12</f>
        <v>313645.50000000006</v>
      </c>
      <c r="N18" s="575">
        <v>1.5</v>
      </c>
      <c r="P18" s="118" t="s">
        <v>28</v>
      </c>
      <c r="R18" s="116">
        <f ca="1">R19-R17</f>
        <v>16907292.318303943</v>
      </c>
    </row>
    <row r="19" spans="2:18">
      <c r="B19" s="111" t="s">
        <v>563</v>
      </c>
      <c r="G19" s="578">
        <v>0.03</v>
      </c>
      <c r="H19" s="111" t="s">
        <v>564</v>
      </c>
      <c r="J19" s="111" t="s">
        <v>36</v>
      </c>
      <c r="M19" s="116">
        <f>N19*$G$12</f>
        <v>418194.00000000006</v>
      </c>
      <c r="N19" s="575">
        <v>2</v>
      </c>
      <c r="P19" s="123" t="s">
        <v>458</v>
      </c>
      <c r="Q19" s="120"/>
      <c r="R19" s="121">
        <f ca="1">R14</f>
        <v>56357641.061013132</v>
      </c>
    </row>
    <row r="20" spans="2:18">
      <c r="B20" s="111" t="s">
        <v>566</v>
      </c>
      <c r="G20" s="578">
        <v>0.02</v>
      </c>
      <c r="J20" s="411" t="s">
        <v>728</v>
      </c>
      <c r="M20" s="116">
        <f>N20*$M$12</f>
        <v>383651.17560000002</v>
      </c>
      <c r="N20" s="412">
        <f>Taxes!$X$13</f>
        <v>0.06</v>
      </c>
    </row>
    <row r="21" spans="2:18">
      <c r="B21" s="111" t="s">
        <v>568</v>
      </c>
      <c r="G21" s="578">
        <v>0.1</v>
      </c>
      <c r="H21" s="111" t="s">
        <v>590</v>
      </c>
      <c r="J21" s="111" t="s">
        <v>571</v>
      </c>
      <c r="M21" s="116">
        <f>N21*$M$12</f>
        <v>191825.58780000001</v>
      </c>
      <c r="N21" s="576">
        <v>0.03</v>
      </c>
      <c r="P21" s="111" t="s">
        <v>394</v>
      </c>
      <c r="R21" s="127">
        <v>0.08</v>
      </c>
    </row>
    <row r="22" spans="2:18">
      <c r="B22" s="111" t="s">
        <v>569</v>
      </c>
      <c r="G22" s="577">
        <v>15</v>
      </c>
      <c r="H22" s="111" t="s">
        <v>570</v>
      </c>
      <c r="J22" s="120" t="s">
        <v>414</v>
      </c>
      <c r="K22" s="120"/>
      <c r="L22" s="120"/>
      <c r="M22" s="121">
        <f>SUM(M17:M21)</f>
        <v>1620961.7634000003</v>
      </c>
      <c r="N22" s="656">
        <v>4</v>
      </c>
      <c r="P22" s="111"/>
    </row>
    <row r="23" spans="2:18">
      <c r="B23" s="111" t="s">
        <v>572</v>
      </c>
      <c r="G23" s="578">
        <v>0.06</v>
      </c>
      <c r="N23" s="175"/>
      <c r="P23" s="111"/>
    </row>
    <row r="24" spans="2:18">
      <c r="B24" s="111" t="s">
        <v>389</v>
      </c>
      <c r="G24" s="579">
        <v>5.3999999999999999E-2</v>
      </c>
      <c r="J24" s="111" t="s">
        <v>575</v>
      </c>
      <c r="M24" s="116">
        <f>M14-M22</f>
        <v>4133805.8706</v>
      </c>
      <c r="N24" s="175"/>
    </row>
    <row r="25" spans="2:18">
      <c r="B25" s="111" t="s">
        <v>390</v>
      </c>
      <c r="G25" s="579">
        <v>0.05</v>
      </c>
    </row>
    <row r="26" spans="2:18">
      <c r="B26" s="111" t="s">
        <v>573</v>
      </c>
      <c r="G26" s="580">
        <v>0</v>
      </c>
      <c r="H26" s="111" t="s">
        <v>574</v>
      </c>
      <c r="N26" s="175"/>
    </row>
    <row r="27" spans="2:18">
      <c r="B27" s="111" t="s">
        <v>391</v>
      </c>
      <c r="G27" s="156">
        <v>10</v>
      </c>
      <c r="H27" s="111" t="s">
        <v>560</v>
      </c>
      <c r="M27" s="116"/>
      <c r="N27" s="175"/>
    </row>
    <row r="28" spans="2:18">
      <c r="B28" s="111" t="s">
        <v>393</v>
      </c>
      <c r="G28" s="578">
        <v>0</v>
      </c>
      <c r="J28" s="128"/>
      <c r="M28" s="116"/>
      <c r="N28" s="175"/>
    </row>
    <row r="29" spans="2:18">
      <c r="J29" s="128"/>
      <c r="N29" s="175"/>
    </row>
    <row r="30" spans="2:18">
      <c r="B30" s="265" t="s">
        <v>576</v>
      </c>
      <c r="C30" s="265"/>
      <c r="D30" s="265"/>
      <c r="E30" s="265"/>
      <c r="F30" s="265"/>
      <c r="G30" s="265"/>
      <c r="H30" s="265"/>
      <c r="I30" s="114"/>
      <c r="N30" s="175"/>
    </row>
    <row r="31" spans="2:18">
      <c r="B31" s="111" t="s">
        <v>577</v>
      </c>
      <c r="G31" s="127">
        <v>0.7</v>
      </c>
      <c r="H31" s="111" t="s">
        <v>578</v>
      </c>
      <c r="J31" s="124"/>
      <c r="N31" s="175"/>
    </row>
    <row r="32" spans="2:18">
      <c r="B32" s="111" t="s">
        <v>460</v>
      </c>
      <c r="G32" s="127">
        <v>0.05</v>
      </c>
      <c r="J32" s="124"/>
    </row>
    <row r="33" spans="1:37">
      <c r="B33" s="111" t="s">
        <v>540</v>
      </c>
      <c r="G33" s="111">
        <v>30</v>
      </c>
      <c r="H33" s="111" t="s">
        <v>579</v>
      </c>
    </row>
    <row r="34" spans="1:37">
      <c r="B34" s="111" t="s">
        <v>580</v>
      </c>
      <c r="G34" s="116">
        <f ca="1">G31*R14</f>
        <v>39450348.74270919</v>
      </c>
    </row>
    <row r="35" spans="1:37">
      <c r="B35" s="111" t="s">
        <v>581</v>
      </c>
      <c r="G35" s="116">
        <f ca="1">PMT(G32/12,G33*12,G34)</f>
        <v>-211778.00240456045</v>
      </c>
    </row>
    <row r="37" spans="1:37">
      <c r="A37" s="111" t="s">
        <v>472</v>
      </c>
      <c r="B37" s="265" t="s">
        <v>513</v>
      </c>
      <c r="C37" s="265"/>
      <c r="D37" s="265"/>
      <c r="E37" s="265"/>
      <c r="F37" s="265"/>
      <c r="G37" s="267">
        <v>0</v>
      </c>
      <c r="H37" s="267">
        <f>G37+1</f>
        <v>1</v>
      </c>
      <c r="I37" s="267">
        <f t="shared" ref="I37:AK37" si="0">H37+1</f>
        <v>2</v>
      </c>
      <c r="J37" s="267">
        <f t="shared" si="0"/>
        <v>3</v>
      </c>
      <c r="K37" s="267">
        <f t="shared" si="0"/>
        <v>4</v>
      </c>
      <c r="L37" s="267">
        <f t="shared" si="0"/>
        <v>5</v>
      </c>
      <c r="M37" s="267">
        <f t="shared" si="0"/>
        <v>6</v>
      </c>
      <c r="N37" s="267">
        <f t="shared" si="0"/>
        <v>7</v>
      </c>
      <c r="O37" s="267">
        <f t="shared" si="0"/>
        <v>8</v>
      </c>
      <c r="P37" s="267">
        <f t="shared" si="0"/>
        <v>9</v>
      </c>
      <c r="Q37" s="267">
        <f t="shared" si="0"/>
        <v>10</v>
      </c>
      <c r="R37" s="267">
        <f t="shared" si="0"/>
        <v>11</v>
      </c>
      <c r="S37" s="129">
        <f t="shared" si="0"/>
        <v>12</v>
      </c>
      <c r="T37" s="129">
        <f t="shared" si="0"/>
        <v>13</v>
      </c>
      <c r="U37" s="129">
        <f t="shared" si="0"/>
        <v>14</v>
      </c>
      <c r="V37" s="129">
        <f t="shared" si="0"/>
        <v>15</v>
      </c>
      <c r="W37" s="129">
        <f t="shared" si="0"/>
        <v>16</v>
      </c>
      <c r="X37" s="129">
        <f t="shared" si="0"/>
        <v>17</v>
      </c>
      <c r="Y37" s="129">
        <f t="shared" si="0"/>
        <v>18</v>
      </c>
      <c r="Z37" s="129">
        <f t="shared" si="0"/>
        <v>19</v>
      </c>
      <c r="AA37" s="129">
        <f t="shared" si="0"/>
        <v>20</v>
      </c>
      <c r="AB37" s="129">
        <f t="shared" si="0"/>
        <v>21</v>
      </c>
      <c r="AC37" s="129">
        <f t="shared" si="0"/>
        <v>22</v>
      </c>
      <c r="AD37" s="129">
        <f t="shared" si="0"/>
        <v>23</v>
      </c>
      <c r="AE37" s="129">
        <f t="shared" si="0"/>
        <v>24</v>
      </c>
      <c r="AF37" s="129">
        <f t="shared" si="0"/>
        <v>25</v>
      </c>
      <c r="AG37" s="129">
        <f t="shared" si="0"/>
        <v>26</v>
      </c>
      <c r="AH37" s="129">
        <f t="shared" si="0"/>
        <v>27</v>
      </c>
      <c r="AI37" s="129">
        <f t="shared" si="0"/>
        <v>28</v>
      </c>
      <c r="AJ37" s="129">
        <f t="shared" si="0"/>
        <v>29</v>
      </c>
      <c r="AK37" s="129">
        <f t="shared" si="0"/>
        <v>30</v>
      </c>
    </row>
    <row r="38" spans="1:37">
      <c r="B38" s="111" t="s">
        <v>412</v>
      </c>
      <c r="H38" s="130">
        <f t="shared" ref="H38:AK38" si="1">1-$G$21</f>
        <v>0.9</v>
      </c>
      <c r="I38" s="130">
        <f t="shared" si="1"/>
        <v>0.9</v>
      </c>
      <c r="J38" s="130">
        <f t="shared" si="1"/>
        <v>0.9</v>
      </c>
      <c r="K38" s="130">
        <f t="shared" si="1"/>
        <v>0.9</v>
      </c>
      <c r="L38" s="130">
        <f t="shared" si="1"/>
        <v>0.9</v>
      </c>
      <c r="M38" s="130">
        <f t="shared" si="1"/>
        <v>0.9</v>
      </c>
      <c r="N38" s="130">
        <f t="shared" si="1"/>
        <v>0.9</v>
      </c>
      <c r="O38" s="130">
        <f t="shared" si="1"/>
        <v>0.9</v>
      </c>
      <c r="P38" s="130">
        <f t="shared" si="1"/>
        <v>0.9</v>
      </c>
      <c r="Q38" s="130">
        <f t="shared" si="1"/>
        <v>0.9</v>
      </c>
      <c r="R38" s="130">
        <f t="shared" si="1"/>
        <v>0.9</v>
      </c>
      <c r="S38" s="130">
        <f t="shared" si="1"/>
        <v>0.9</v>
      </c>
      <c r="T38" s="130">
        <f t="shared" si="1"/>
        <v>0.9</v>
      </c>
      <c r="U38" s="130">
        <f t="shared" si="1"/>
        <v>0.9</v>
      </c>
      <c r="V38" s="130">
        <f t="shared" si="1"/>
        <v>0.9</v>
      </c>
      <c r="W38" s="130">
        <f t="shared" si="1"/>
        <v>0.9</v>
      </c>
      <c r="X38" s="130">
        <f t="shared" si="1"/>
        <v>0.9</v>
      </c>
      <c r="Y38" s="130">
        <f t="shared" si="1"/>
        <v>0.9</v>
      </c>
      <c r="Z38" s="130">
        <f t="shared" si="1"/>
        <v>0.9</v>
      </c>
      <c r="AA38" s="130">
        <f t="shared" si="1"/>
        <v>0.9</v>
      </c>
      <c r="AB38" s="130">
        <f t="shared" si="1"/>
        <v>0.9</v>
      </c>
      <c r="AC38" s="130">
        <f t="shared" si="1"/>
        <v>0.9</v>
      </c>
      <c r="AD38" s="130">
        <f t="shared" si="1"/>
        <v>0.9</v>
      </c>
      <c r="AE38" s="130">
        <f t="shared" si="1"/>
        <v>0.9</v>
      </c>
      <c r="AF38" s="130">
        <f t="shared" si="1"/>
        <v>0.9</v>
      </c>
      <c r="AG38" s="130">
        <f t="shared" si="1"/>
        <v>0.9</v>
      </c>
      <c r="AH38" s="130">
        <f t="shared" si="1"/>
        <v>0.9</v>
      </c>
      <c r="AI38" s="130">
        <f t="shared" si="1"/>
        <v>0.9</v>
      </c>
      <c r="AJ38" s="130">
        <f t="shared" si="1"/>
        <v>0.9</v>
      </c>
      <c r="AK38" s="130">
        <f t="shared" si="1"/>
        <v>0.9</v>
      </c>
    </row>
    <row r="40" spans="1:37">
      <c r="B40" s="111" t="s">
        <v>595</v>
      </c>
      <c r="G40" s="116">
        <f ca="1">-R14</f>
        <v>-56357641.061013132</v>
      </c>
    </row>
    <row r="41" spans="1:37">
      <c r="I41" s="131"/>
    </row>
    <row r="42" spans="1:37">
      <c r="B42" s="111" t="s">
        <v>509</v>
      </c>
      <c r="H42" s="116">
        <f t="shared" ref="H42:AK42" si="2">$M$12*(1+$G$19)^G37</f>
        <v>6394186.2600000007</v>
      </c>
      <c r="I42" s="116">
        <f t="shared" si="2"/>
        <v>6586011.8478000006</v>
      </c>
      <c r="J42" s="116">
        <f t="shared" si="2"/>
        <v>6783592.2032340001</v>
      </c>
      <c r="K42" s="116">
        <f t="shared" si="2"/>
        <v>6987099.9693310205</v>
      </c>
      <c r="L42" s="116">
        <f t="shared" si="2"/>
        <v>7196712.9684109511</v>
      </c>
      <c r="M42" s="116">
        <f t="shared" si="2"/>
        <v>7412614.3574632788</v>
      </c>
      <c r="N42" s="116">
        <f t="shared" si="2"/>
        <v>7634992.7881871779</v>
      </c>
      <c r="O42" s="116">
        <f t="shared" si="2"/>
        <v>7864042.5718327938</v>
      </c>
      <c r="P42" s="116">
        <f t="shared" si="2"/>
        <v>8099963.8489877768</v>
      </c>
      <c r="Q42" s="116">
        <f t="shared" si="2"/>
        <v>8342962.7644574102</v>
      </c>
      <c r="R42" s="116">
        <f t="shared" si="2"/>
        <v>8593251.647391133</v>
      </c>
      <c r="S42" s="116">
        <f t="shared" si="2"/>
        <v>8851049.1968128663</v>
      </c>
      <c r="T42" s="116">
        <f t="shared" si="2"/>
        <v>9116580.6727172509</v>
      </c>
      <c r="U42" s="116">
        <f t="shared" si="2"/>
        <v>9390078.0928987674</v>
      </c>
      <c r="V42" s="116">
        <f t="shared" si="2"/>
        <v>9671780.4356857315</v>
      </c>
      <c r="W42" s="116">
        <f t="shared" si="2"/>
        <v>9961933.848756304</v>
      </c>
      <c r="X42" s="116">
        <f t="shared" si="2"/>
        <v>10260791.864218993</v>
      </c>
      <c r="Y42" s="116">
        <f t="shared" si="2"/>
        <v>10568615.620145561</v>
      </c>
      <c r="Z42" s="116">
        <f t="shared" si="2"/>
        <v>10885674.088749928</v>
      </c>
      <c r="AA42" s="116">
        <f t="shared" si="2"/>
        <v>11212244.311412426</v>
      </c>
      <c r="AB42" s="116">
        <f t="shared" si="2"/>
        <v>11548611.640754798</v>
      </c>
      <c r="AC42" s="116">
        <f t="shared" si="2"/>
        <v>11895069.989977442</v>
      </c>
      <c r="AD42" s="116">
        <f t="shared" si="2"/>
        <v>12251922.089676766</v>
      </c>
      <c r="AE42" s="116">
        <f t="shared" si="2"/>
        <v>12619479.75236707</v>
      </c>
      <c r="AF42" s="116">
        <f t="shared" si="2"/>
        <v>12998064.14493808</v>
      </c>
      <c r="AG42" s="116">
        <f t="shared" si="2"/>
        <v>13388006.069286222</v>
      </c>
      <c r="AH42" s="116">
        <f t="shared" si="2"/>
        <v>13789646.25136481</v>
      </c>
      <c r="AI42" s="116">
        <f t="shared" si="2"/>
        <v>14203335.638905754</v>
      </c>
      <c r="AJ42" s="116">
        <f t="shared" si="2"/>
        <v>14629435.708072927</v>
      </c>
      <c r="AK42" s="116">
        <f t="shared" si="2"/>
        <v>15068318.779315112</v>
      </c>
    </row>
    <row r="43" spans="1:37">
      <c r="C43" s="111" t="s">
        <v>521</v>
      </c>
      <c r="H43" s="116">
        <f>-(1-H38)*H42</f>
        <v>-639418.62599999993</v>
      </c>
      <c r="I43" s="116">
        <f t="shared" ref="I43:AK43" si="3">-(1-I38)*I42</f>
        <v>-658601.18477999989</v>
      </c>
      <c r="J43" s="116">
        <f t="shared" si="3"/>
        <v>-678359.22032339987</v>
      </c>
      <c r="K43" s="116">
        <f t="shared" si="3"/>
        <v>-698709.99693310191</v>
      </c>
      <c r="L43" s="116">
        <f t="shared" si="3"/>
        <v>-719671.29684109497</v>
      </c>
      <c r="M43" s="116">
        <f t="shared" si="3"/>
        <v>-741261.43574632774</v>
      </c>
      <c r="N43" s="116">
        <f t="shared" si="3"/>
        <v>-763499.27881871758</v>
      </c>
      <c r="O43" s="116">
        <f t="shared" si="3"/>
        <v>-786404.25718327914</v>
      </c>
      <c r="P43" s="116">
        <f t="shared" si="3"/>
        <v>-809996.38489877747</v>
      </c>
      <c r="Q43" s="116">
        <f t="shared" si="3"/>
        <v>-834296.27644574083</v>
      </c>
      <c r="R43" s="116">
        <f t="shared" si="3"/>
        <v>-859325.16473911307</v>
      </c>
      <c r="S43" s="116">
        <f t="shared" si="3"/>
        <v>-885104.91968128644</v>
      </c>
      <c r="T43" s="116">
        <f t="shared" si="3"/>
        <v>-911658.06727172493</v>
      </c>
      <c r="U43" s="116">
        <f t="shared" si="3"/>
        <v>-939007.80928987649</v>
      </c>
      <c r="V43" s="116">
        <f t="shared" si="3"/>
        <v>-967178.04356857296</v>
      </c>
      <c r="W43" s="116">
        <f t="shared" si="3"/>
        <v>-996193.38487563014</v>
      </c>
      <c r="X43" s="116">
        <f t="shared" si="3"/>
        <v>-1026079.1864218991</v>
      </c>
      <c r="Y43" s="116">
        <f t="shared" si="3"/>
        <v>-1056861.5620145558</v>
      </c>
      <c r="Z43" s="116">
        <f t="shared" si="3"/>
        <v>-1088567.4088749925</v>
      </c>
      <c r="AA43" s="116">
        <f t="shared" si="3"/>
        <v>-1121224.4311412424</v>
      </c>
      <c r="AB43" s="116">
        <f t="shared" si="3"/>
        <v>-1154861.1640754796</v>
      </c>
      <c r="AC43" s="116">
        <f t="shared" si="3"/>
        <v>-1189506.9989977439</v>
      </c>
      <c r="AD43" s="116">
        <f t="shared" si="3"/>
        <v>-1225192.2089676764</v>
      </c>
      <c r="AE43" s="116">
        <f t="shared" si="3"/>
        <v>-1261947.9752367067</v>
      </c>
      <c r="AF43" s="116">
        <f t="shared" si="3"/>
        <v>-1299806.4144938076</v>
      </c>
      <c r="AG43" s="116">
        <f t="shared" si="3"/>
        <v>-1338800.6069286219</v>
      </c>
      <c r="AH43" s="116">
        <f t="shared" si="3"/>
        <v>-1378964.6251364807</v>
      </c>
      <c r="AI43" s="116">
        <f t="shared" si="3"/>
        <v>-1420333.5638905752</v>
      </c>
      <c r="AJ43" s="116">
        <f t="shared" si="3"/>
        <v>-1462943.5708072924</v>
      </c>
      <c r="AK43" s="116">
        <f t="shared" si="3"/>
        <v>-1506831.8779315108</v>
      </c>
    </row>
    <row r="44" spans="1:37">
      <c r="C44" s="111" t="s">
        <v>573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>
        <v>0</v>
      </c>
      <c r="AC44" s="116">
        <v>0</v>
      </c>
      <c r="AD44" s="116"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</row>
    <row r="45" spans="1:37">
      <c r="B45" s="120" t="s">
        <v>522</v>
      </c>
      <c r="C45" s="120"/>
      <c r="D45" s="120"/>
      <c r="E45" s="120"/>
      <c r="F45" s="120"/>
      <c r="G45" s="120"/>
      <c r="H45" s="121">
        <f>SUM(H42:H44)</f>
        <v>5754767.6340000005</v>
      </c>
      <c r="I45" s="121">
        <f t="shared" ref="I45:AK45" si="4">SUM(I42:I44)</f>
        <v>5927410.6630200008</v>
      </c>
      <c r="J45" s="121">
        <f t="shared" si="4"/>
        <v>6105232.9829106005</v>
      </c>
      <c r="K45" s="121">
        <f t="shared" si="4"/>
        <v>6288389.9723979188</v>
      </c>
      <c r="L45" s="121">
        <f t="shared" si="4"/>
        <v>6477041.6715698559</v>
      </c>
      <c r="M45" s="121">
        <f t="shared" si="4"/>
        <v>6671352.9217169508</v>
      </c>
      <c r="N45" s="121">
        <f t="shared" si="4"/>
        <v>6871493.5093684606</v>
      </c>
      <c r="O45" s="121">
        <f t="shared" si="4"/>
        <v>7077638.3146495149</v>
      </c>
      <c r="P45" s="121">
        <f t="shared" si="4"/>
        <v>7289967.4640889997</v>
      </c>
      <c r="Q45" s="121">
        <f t="shared" si="4"/>
        <v>7508666.4880116694</v>
      </c>
      <c r="R45" s="121">
        <f t="shared" si="4"/>
        <v>7733926.4826520197</v>
      </c>
      <c r="S45" s="121">
        <f t="shared" si="4"/>
        <v>7965944.2771315798</v>
      </c>
      <c r="T45" s="121">
        <f t="shared" si="4"/>
        <v>8204922.6054455256</v>
      </c>
      <c r="U45" s="121">
        <f t="shared" si="4"/>
        <v>8451070.2836088911</v>
      </c>
      <c r="V45" s="121">
        <f t="shared" si="4"/>
        <v>8704602.3921171576</v>
      </c>
      <c r="W45" s="121">
        <f t="shared" si="4"/>
        <v>8965740.4638806731</v>
      </c>
      <c r="X45" s="121">
        <f t="shared" si="4"/>
        <v>9234712.677797094</v>
      </c>
      <c r="Y45" s="121">
        <f t="shared" si="4"/>
        <v>9511754.0581310056</v>
      </c>
      <c r="Z45" s="121">
        <f t="shared" si="4"/>
        <v>9797106.6798749361</v>
      </c>
      <c r="AA45" s="121">
        <f t="shared" si="4"/>
        <v>10091019.880271183</v>
      </c>
      <c r="AB45" s="121">
        <f t="shared" si="4"/>
        <v>10393750.47667932</v>
      </c>
      <c r="AC45" s="121">
        <f t="shared" si="4"/>
        <v>10705562.990979698</v>
      </c>
      <c r="AD45" s="121">
        <f t="shared" si="4"/>
        <v>11026729.880709089</v>
      </c>
      <c r="AE45" s="121">
        <f t="shared" si="4"/>
        <v>11357531.777130364</v>
      </c>
      <c r="AF45" s="121">
        <f t="shared" si="4"/>
        <v>11698257.730444271</v>
      </c>
      <c r="AG45" s="121">
        <f t="shared" si="4"/>
        <v>12049205.462357599</v>
      </c>
      <c r="AH45" s="121">
        <f t="shared" si="4"/>
        <v>12410681.626228329</v>
      </c>
      <c r="AI45" s="121">
        <f t="shared" si="4"/>
        <v>12783002.07501518</v>
      </c>
      <c r="AJ45" s="121">
        <f t="shared" si="4"/>
        <v>13166492.137265634</v>
      </c>
      <c r="AK45" s="121">
        <f t="shared" si="4"/>
        <v>13561486.901383601</v>
      </c>
    </row>
    <row r="47" spans="1:37">
      <c r="B47" s="111" t="s">
        <v>413</v>
      </c>
    </row>
    <row r="48" spans="1:37">
      <c r="C48" s="111" t="str">
        <f>J17</f>
        <v>Repairs and Maintenance</v>
      </c>
      <c r="H48" s="116">
        <f t="shared" ref="H48:AK48" si="5">$M17*(1+$G$20)^G$37</f>
        <v>313645.50000000006</v>
      </c>
      <c r="I48" s="116">
        <f t="shared" si="5"/>
        <v>319918.41000000009</v>
      </c>
      <c r="J48" s="116">
        <f t="shared" si="5"/>
        <v>326316.77820000006</v>
      </c>
      <c r="K48" s="116">
        <f t="shared" si="5"/>
        <v>332843.11376400007</v>
      </c>
      <c r="L48" s="116">
        <f t="shared" si="5"/>
        <v>339499.97603928007</v>
      </c>
      <c r="M48" s="116">
        <f t="shared" si="5"/>
        <v>346289.97556006565</v>
      </c>
      <c r="N48" s="116">
        <f t="shared" si="5"/>
        <v>353215.77507126698</v>
      </c>
      <c r="O48" s="116">
        <f t="shared" si="5"/>
        <v>360280.09057269228</v>
      </c>
      <c r="P48" s="116">
        <f t="shared" si="5"/>
        <v>367485.69238414615</v>
      </c>
      <c r="Q48" s="116">
        <f t="shared" si="5"/>
        <v>374835.40623182908</v>
      </c>
      <c r="R48" s="116">
        <f t="shared" si="5"/>
        <v>382332.11435646564</v>
      </c>
      <c r="S48" s="116">
        <f t="shared" si="5"/>
        <v>389978.75664359488</v>
      </c>
      <c r="T48" s="116">
        <f t="shared" si="5"/>
        <v>397778.33177646686</v>
      </c>
      <c r="U48" s="116">
        <f t="shared" si="5"/>
        <v>405733.8984119962</v>
      </c>
      <c r="V48" s="116">
        <f t="shared" si="5"/>
        <v>413848.57638023613</v>
      </c>
      <c r="W48" s="116">
        <f t="shared" si="5"/>
        <v>422125.54790784075</v>
      </c>
      <c r="X48" s="116">
        <f t="shared" si="5"/>
        <v>430568.05886599765</v>
      </c>
      <c r="Y48" s="116">
        <f t="shared" si="5"/>
        <v>439179.4200433176</v>
      </c>
      <c r="Z48" s="116">
        <f t="shared" si="5"/>
        <v>447963.00844418391</v>
      </c>
      <c r="AA48" s="116">
        <f t="shared" si="5"/>
        <v>456922.26861306757</v>
      </c>
      <c r="AB48" s="116">
        <f t="shared" si="5"/>
        <v>466060.71398532897</v>
      </c>
      <c r="AC48" s="116">
        <f t="shared" si="5"/>
        <v>475381.92826503556</v>
      </c>
      <c r="AD48" s="116">
        <f t="shared" si="5"/>
        <v>484889.56683033629</v>
      </c>
      <c r="AE48" s="116">
        <f t="shared" si="5"/>
        <v>494587.3581669429</v>
      </c>
      <c r="AF48" s="116">
        <f t="shared" si="5"/>
        <v>504479.10533028177</v>
      </c>
      <c r="AG48" s="116">
        <f t="shared" si="5"/>
        <v>514568.68743688741</v>
      </c>
      <c r="AH48" s="116">
        <f t="shared" si="5"/>
        <v>524860.06118562527</v>
      </c>
      <c r="AI48" s="116">
        <f t="shared" si="5"/>
        <v>535357.26240933768</v>
      </c>
      <c r="AJ48" s="116">
        <f t="shared" si="5"/>
        <v>546064.40765752445</v>
      </c>
      <c r="AK48" s="116">
        <f t="shared" si="5"/>
        <v>556985.69581067492</v>
      </c>
    </row>
    <row r="49" spans="2:37">
      <c r="C49" s="111" t="str">
        <f>J18</f>
        <v>Administrative</v>
      </c>
      <c r="H49" s="116">
        <f t="shared" ref="H49:AK49" si="6">$M18*(1+$G$20)^G$37</f>
        <v>313645.50000000006</v>
      </c>
      <c r="I49" s="116">
        <f t="shared" si="6"/>
        <v>319918.41000000009</v>
      </c>
      <c r="J49" s="116">
        <f t="shared" si="6"/>
        <v>326316.77820000006</v>
      </c>
      <c r="K49" s="116">
        <f t="shared" si="6"/>
        <v>332843.11376400007</v>
      </c>
      <c r="L49" s="116">
        <f t="shared" si="6"/>
        <v>339499.97603928007</v>
      </c>
      <c r="M49" s="116">
        <f t="shared" si="6"/>
        <v>346289.97556006565</v>
      </c>
      <c r="N49" s="116">
        <f t="shared" si="6"/>
        <v>353215.77507126698</v>
      </c>
      <c r="O49" s="116">
        <f t="shared" si="6"/>
        <v>360280.09057269228</v>
      </c>
      <c r="P49" s="116">
        <f t="shared" si="6"/>
        <v>367485.69238414615</v>
      </c>
      <c r="Q49" s="116">
        <f t="shared" si="6"/>
        <v>374835.40623182908</v>
      </c>
      <c r="R49" s="116">
        <f t="shared" si="6"/>
        <v>382332.11435646564</v>
      </c>
      <c r="S49" s="116">
        <f t="shared" si="6"/>
        <v>389978.75664359488</v>
      </c>
      <c r="T49" s="116">
        <f t="shared" si="6"/>
        <v>397778.33177646686</v>
      </c>
      <c r="U49" s="116">
        <f t="shared" si="6"/>
        <v>405733.8984119962</v>
      </c>
      <c r="V49" s="116">
        <f t="shared" si="6"/>
        <v>413848.57638023613</v>
      </c>
      <c r="W49" s="116">
        <f t="shared" si="6"/>
        <v>422125.54790784075</v>
      </c>
      <c r="X49" s="116">
        <f t="shared" si="6"/>
        <v>430568.05886599765</v>
      </c>
      <c r="Y49" s="116">
        <f t="shared" si="6"/>
        <v>439179.4200433176</v>
      </c>
      <c r="Z49" s="116">
        <f t="shared" si="6"/>
        <v>447963.00844418391</v>
      </c>
      <c r="AA49" s="116">
        <f t="shared" si="6"/>
        <v>456922.26861306757</v>
      </c>
      <c r="AB49" s="116">
        <f t="shared" si="6"/>
        <v>466060.71398532897</v>
      </c>
      <c r="AC49" s="116">
        <f t="shared" si="6"/>
        <v>475381.92826503556</v>
      </c>
      <c r="AD49" s="116">
        <f t="shared" si="6"/>
        <v>484889.56683033629</v>
      </c>
      <c r="AE49" s="116">
        <f t="shared" si="6"/>
        <v>494587.3581669429</v>
      </c>
      <c r="AF49" s="116">
        <f t="shared" si="6"/>
        <v>504479.10533028177</v>
      </c>
      <c r="AG49" s="116">
        <f t="shared" si="6"/>
        <v>514568.68743688741</v>
      </c>
      <c r="AH49" s="116">
        <f t="shared" si="6"/>
        <v>524860.06118562527</v>
      </c>
      <c r="AI49" s="116">
        <f t="shared" si="6"/>
        <v>535357.26240933768</v>
      </c>
      <c r="AJ49" s="116">
        <f t="shared" si="6"/>
        <v>546064.40765752445</v>
      </c>
      <c r="AK49" s="116">
        <f t="shared" si="6"/>
        <v>556985.69581067492</v>
      </c>
    </row>
    <row r="50" spans="2:37">
      <c r="C50" s="111" t="str">
        <f>J19</f>
        <v>Utilities</v>
      </c>
      <c r="H50" s="116">
        <f t="shared" ref="H50:AK51" si="7">$M19*(1+$G$20)^G$37</f>
        <v>418194.00000000006</v>
      </c>
      <c r="I50" s="116">
        <f t="shared" si="7"/>
        <v>426557.88000000006</v>
      </c>
      <c r="J50" s="116">
        <f t="shared" si="7"/>
        <v>435089.03760000004</v>
      </c>
      <c r="K50" s="116">
        <f t="shared" si="7"/>
        <v>443790.81835200003</v>
      </c>
      <c r="L50" s="116">
        <f t="shared" si="7"/>
        <v>452666.63471904007</v>
      </c>
      <c r="M50" s="116">
        <f t="shared" si="7"/>
        <v>461719.96741342085</v>
      </c>
      <c r="N50" s="116">
        <f t="shared" si="7"/>
        <v>470954.36676168931</v>
      </c>
      <c r="O50" s="116">
        <f t="shared" si="7"/>
        <v>480373.454096923</v>
      </c>
      <c r="P50" s="116">
        <f t="shared" si="7"/>
        <v>489980.9231788615</v>
      </c>
      <c r="Q50" s="116">
        <f t="shared" si="7"/>
        <v>499780.54164243874</v>
      </c>
      <c r="R50" s="116">
        <f t="shared" si="7"/>
        <v>509776.1524752875</v>
      </c>
      <c r="S50" s="116">
        <f t="shared" si="7"/>
        <v>519971.67552479316</v>
      </c>
      <c r="T50" s="116">
        <f t="shared" si="7"/>
        <v>530371.10903528915</v>
      </c>
      <c r="U50" s="116">
        <f t="shared" si="7"/>
        <v>540978.53121599485</v>
      </c>
      <c r="V50" s="116">
        <f t="shared" si="7"/>
        <v>551798.1018403148</v>
      </c>
      <c r="W50" s="116">
        <f t="shared" si="7"/>
        <v>562834.06387712096</v>
      </c>
      <c r="X50" s="116">
        <f t="shared" si="7"/>
        <v>574090.74515466345</v>
      </c>
      <c r="Y50" s="116">
        <f t="shared" si="7"/>
        <v>585572.56005775684</v>
      </c>
      <c r="Z50" s="116">
        <f t="shared" si="7"/>
        <v>597284.01125891192</v>
      </c>
      <c r="AA50" s="116">
        <f t="shared" si="7"/>
        <v>609229.69148409006</v>
      </c>
      <c r="AB50" s="116">
        <f t="shared" si="7"/>
        <v>621414.28531377192</v>
      </c>
      <c r="AC50" s="116">
        <f t="shared" si="7"/>
        <v>633842.5710200473</v>
      </c>
      <c r="AD50" s="116">
        <f t="shared" si="7"/>
        <v>646519.42244044831</v>
      </c>
      <c r="AE50" s="116">
        <f t="shared" si="7"/>
        <v>659449.81088925723</v>
      </c>
      <c r="AF50" s="116">
        <f t="shared" si="7"/>
        <v>672638.8071070424</v>
      </c>
      <c r="AG50" s="116">
        <f t="shared" si="7"/>
        <v>686091.58324918326</v>
      </c>
      <c r="AH50" s="116">
        <f t="shared" si="7"/>
        <v>699813.4149141669</v>
      </c>
      <c r="AI50" s="116">
        <f t="shared" si="7"/>
        <v>713809.68321245012</v>
      </c>
      <c r="AJ50" s="116">
        <f t="shared" si="7"/>
        <v>728085.87687669927</v>
      </c>
      <c r="AK50" s="116">
        <f t="shared" si="7"/>
        <v>742647.59441423323</v>
      </c>
    </row>
    <row r="51" spans="2:37">
      <c r="C51" s="111" t="str">
        <f>J20</f>
        <v>Real Estate Taxes</v>
      </c>
      <c r="H51" s="116">
        <f t="shared" si="7"/>
        <v>383651.17560000002</v>
      </c>
      <c r="I51" s="116">
        <f t="shared" si="7"/>
        <v>391324.199112</v>
      </c>
      <c r="J51" s="116">
        <f t="shared" si="7"/>
        <v>399150.68309424003</v>
      </c>
      <c r="K51" s="116">
        <f t="shared" si="7"/>
        <v>407133.69675612479</v>
      </c>
      <c r="L51" s="116">
        <f t="shared" si="7"/>
        <v>415276.37069124728</v>
      </c>
      <c r="M51" s="116">
        <f t="shared" si="7"/>
        <v>423581.89810507227</v>
      </c>
      <c r="N51" s="116">
        <f t="shared" si="7"/>
        <v>432053.53606717376</v>
      </c>
      <c r="O51" s="116">
        <f t="shared" si="7"/>
        <v>440694.60678851709</v>
      </c>
      <c r="P51" s="116">
        <f t="shared" si="7"/>
        <v>449508.4989242875</v>
      </c>
      <c r="Q51" s="116">
        <f t="shared" si="7"/>
        <v>458498.66890277324</v>
      </c>
      <c r="R51" s="116">
        <f t="shared" si="7"/>
        <v>467668.64228082873</v>
      </c>
      <c r="S51" s="116">
        <f t="shared" si="7"/>
        <v>477022.01512644521</v>
      </c>
      <c r="T51" s="116">
        <f t="shared" si="7"/>
        <v>486562.45542897418</v>
      </c>
      <c r="U51" s="116">
        <f t="shared" si="7"/>
        <v>496293.70453755365</v>
      </c>
      <c r="V51" s="116">
        <f t="shared" si="7"/>
        <v>506219.57862830476</v>
      </c>
      <c r="W51" s="116">
        <f t="shared" si="7"/>
        <v>516343.97020087071</v>
      </c>
      <c r="X51" s="116">
        <f t="shared" si="7"/>
        <v>526670.84960488824</v>
      </c>
      <c r="Y51" s="116">
        <f t="shared" si="7"/>
        <v>537204.2665969861</v>
      </c>
      <c r="Z51" s="116">
        <f t="shared" si="7"/>
        <v>547948.35192892572</v>
      </c>
      <c r="AA51" s="116">
        <f t="shared" si="7"/>
        <v>558907.31896750419</v>
      </c>
      <c r="AB51" s="116">
        <f t="shared" si="7"/>
        <v>570085.4653468543</v>
      </c>
      <c r="AC51" s="116">
        <f t="shared" si="7"/>
        <v>581487.17465379136</v>
      </c>
      <c r="AD51" s="116">
        <f t="shared" si="7"/>
        <v>593116.91814686719</v>
      </c>
      <c r="AE51" s="116">
        <f t="shared" si="7"/>
        <v>604979.25650980452</v>
      </c>
      <c r="AF51" s="116">
        <f t="shared" si="7"/>
        <v>617078.84164000058</v>
      </c>
      <c r="AG51" s="116">
        <f t="shared" si="7"/>
        <v>629420.41847280064</v>
      </c>
      <c r="AH51" s="116">
        <f t="shared" si="7"/>
        <v>642008.82684225671</v>
      </c>
      <c r="AI51" s="116">
        <f t="shared" si="7"/>
        <v>654849.00337910175</v>
      </c>
      <c r="AJ51" s="116">
        <f t="shared" si="7"/>
        <v>667945.98344668385</v>
      </c>
      <c r="AK51" s="116">
        <f t="shared" si="7"/>
        <v>681304.90311561746</v>
      </c>
    </row>
    <row r="52" spans="2:37">
      <c r="C52" s="111" t="str">
        <f>J21</f>
        <v>Property Management Fee (% gross revenue)</v>
      </c>
      <c r="H52" s="116">
        <f t="shared" ref="H52:AK52" si="8">H42*$N$21</f>
        <v>191825.58780000001</v>
      </c>
      <c r="I52" s="116">
        <f t="shared" si="8"/>
        <v>197580.355434</v>
      </c>
      <c r="J52" s="116">
        <f t="shared" si="8"/>
        <v>203507.76609702001</v>
      </c>
      <c r="K52" s="116">
        <f t="shared" si="8"/>
        <v>209612.9990799306</v>
      </c>
      <c r="L52" s="116">
        <f t="shared" si="8"/>
        <v>215901.38905232854</v>
      </c>
      <c r="M52" s="116">
        <f t="shared" si="8"/>
        <v>222378.43072389835</v>
      </c>
      <c r="N52" s="116">
        <f t="shared" si="8"/>
        <v>229049.78364561533</v>
      </c>
      <c r="O52" s="116">
        <f t="shared" si="8"/>
        <v>235921.27715498381</v>
      </c>
      <c r="P52" s="116">
        <f t="shared" si="8"/>
        <v>242998.9154696333</v>
      </c>
      <c r="Q52" s="116">
        <f t="shared" si="8"/>
        <v>250288.88293372229</v>
      </c>
      <c r="R52" s="116">
        <f t="shared" si="8"/>
        <v>257797.54942173397</v>
      </c>
      <c r="S52" s="116">
        <f t="shared" si="8"/>
        <v>265531.47590438597</v>
      </c>
      <c r="T52" s="116">
        <f t="shared" si="8"/>
        <v>273497.42018151749</v>
      </c>
      <c r="U52" s="116">
        <f t="shared" si="8"/>
        <v>281702.34278696304</v>
      </c>
      <c r="V52" s="116">
        <f t="shared" si="8"/>
        <v>290153.41307057196</v>
      </c>
      <c r="W52" s="116">
        <f t="shared" si="8"/>
        <v>298858.0154626891</v>
      </c>
      <c r="X52" s="116">
        <f t="shared" si="8"/>
        <v>307823.75592656981</v>
      </c>
      <c r="Y52" s="116">
        <f t="shared" si="8"/>
        <v>317058.46860436682</v>
      </c>
      <c r="Z52" s="116">
        <f t="shared" si="8"/>
        <v>326570.22266249784</v>
      </c>
      <c r="AA52" s="116">
        <f t="shared" si="8"/>
        <v>336367.32934237277</v>
      </c>
      <c r="AB52" s="116">
        <f t="shared" si="8"/>
        <v>346458.34922264394</v>
      </c>
      <c r="AC52" s="116">
        <f t="shared" si="8"/>
        <v>356852.09969932324</v>
      </c>
      <c r="AD52" s="116">
        <f t="shared" si="8"/>
        <v>367557.66269030294</v>
      </c>
      <c r="AE52" s="116">
        <f t="shared" si="8"/>
        <v>378584.39257101208</v>
      </c>
      <c r="AF52" s="116">
        <f t="shared" si="8"/>
        <v>389941.92434814235</v>
      </c>
      <c r="AG52" s="116">
        <f t="shared" si="8"/>
        <v>401640.18207858666</v>
      </c>
      <c r="AH52" s="116">
        <f t="shared" si="8"/>
        <v>413689.38754094427</v>
      </c>
      <c r="AI52" s="116">
        <f t="shared" si="8"/>
        <v>426100.06916717259</v>
      </c>
      <c r="AJ52" s="116">
        <f t="shared" si="8"/>
        <v>438883.07124218781</v>
      </c>
      <c r="AK52" s="116">
        <f t="shared" si="8"/>
        <v>452049.56337945332</v>
      </c>
    </row>
    <row r="53" spans="2:37">
      <c r="B53" s="120" t="s">
        <v>414</v>
      </c>
      <c r="C53" s="120"/>
      <c r="D53" s="120"/>
      <c r="E53" s="120"/>
      <c r="F53" s="120"/>
      <c r="G53" s="120"/>
      <c r="H53" s="121">
        <f t="shared" ref="H53:R53" si="9">SUM(H48:H52)</f>
        <v>1620961.7634000003</v>
      </c>
      <c r="I53" s="121">
        <f t="shared" si="9"/>
        <v>1655299.2545460002</v>
      </c>
      <c r="J53" s="121">
        <f t="shared" si="9"/>
        <v>1690381.0431912602</v>
      </c>
      <c r="K53" s="121">
        <f t="shared" si="9"/>
        <v>1726223.7417160554</v>
      </c>
      <c r="L53" s="121">
        <f t="shared" si="9"/>
        <v>1762844.3465411761</v>
      </c>
      <c r="M53" s="121">
        <f t="shared" si="9"/>
        <v>1800260.2473625229</v>
      </c>
      <c r="N53" s="121">
        <f t="shared" si="9"/>
        <v>1838489.2366170124</v>
      </c>
      <c r="O53" s="121">
        <f t="shared" si="9"/>
        <v>1877549.5191858083</v>
      </c>
      <c r="P53" s="121">
        <f t="shared" si="9"/>
        <v>1917459.7223410746</v>
      </c>
      <c r="Q53" s="121">
        <f t="shared" si="9"/>
        <v>1958238.9059425925</v>
      </c>
      <c r="R53" s="121">
        <f t="shared" si="9"/>
        <v>1999906.5728907813</v>
      </c>
      <c r="S53" s="121">
        <f t="shared" ref="S53:AK53" si="10">SUM(S48:S52)</f>
        <v>2042482.6798428143</v>
      </c>
      <c r="T53" s="121">
        <f t="shared" si="10"/>
        <v>2085987.6481987145</v>
      </c>
      <c r="U53" s="121">
        <f t="shared" si="10"/>
        <v>2130442.3753645038</v>
      </c>
      <c r="V53" s="121">
        <f t="shared" si="10"/>
        <v>2175868.246299664</v>
      </c>
      <c r="W53" s="121">
        <f t="shared" si="10"/>
        <v>2222287.1453563622</v>
      </c>
      <c r="X53" s="121">
        <f t="shared" si="10"/>
        <v>2269721.4684181171</v>
      </c>
      <c r="Y53" s="121">
        <f t="shared" si="10"/>
        <v>2318194.1353457449</v>
      </c>
      <c r="Z53" s="121">
        <f t="shared" si="10"/>
        <v>2367728.6027387031</v>
      </c>
      <c r="AA53" s="121">
        <f t="shared" si="10"/>
        <v>2418348.8770201025</v>
      </c>
      <c r="AB53" s="121">
        <f t="shared" si="10"/>
        <v>2470079.527853928</v>
      </c>
      <c r="AC53" s="121">
        <f t="shared" si="10"/>
        <v>2522945.7019032328</v>
      </c>
      <c r="AD53" s="121">
        <f t="shared" si="10"/>
        <v>2576973.1369382911</v>
      </c>
      <c r="AE53" s="121">
        <f t="shared" si="10"/>
        <v>2632188.1763039595</v>
      </c>
      <c r="AF53" s="121">
        <f t="shared" si="10"/>
        <v>2688617.783755749</v>
      </c>
      <c r="AG53" s="121">
        <f t="shared" si="10"/>
        <v>2746289.5586743457</v>
      </c>
      <c r="AH53" s="121">
        <f t="shared" si="10"/>
        <v>2805231.7516686185</v>
      </c>
      <c r="AI53" s="121">
        <f t="shared" si="10"/>
        <v>2865473.2805773998</v>
      </c>
      <c r="AJ53" s="121">
        <f t="shared" si="10"/>
        <v>2927043.7468806198</v>
      </c>
      <c r="AK53" s="121">
        <f t="shared" si="10"/>
        <v>2989973.4525306541</v>
      </c>
    </row>
    <row r="55" spans="2:37">
      <c r="B55" s="111" t="s">
        <v>524</v>
      </c>
      <c r="H55" s="116">
        <f t="shared" ref="H55:AK55" si="11">H45-H53</f>
        <v>4133805.8706</v>
      </c>
      <c r="I55" s="116">
        <f t="shared" si="11"/>
        <v>4272111.4084740002</v>
      </c>
      <c r="J55" s="116">
        <f t="shared" si="11"/>
        <v>4414851.9397193398</v>
      </c>
      <c r="K55" s="116">
        <f t="shared" si="11"/>
        <v>4562166.2306818636</v>
      </c>
      <c r="L55" s="116">
        <f t="shared" si="11"/>
        <v>4714197.3250286803</v>
      </c>
      <c r="M55" s="116">
        <f t="shared" si="11"/>
        <v>4871092.6743544284</v>
      </c>
      <c r="N55" s="116">
        <f t="shared" si="11"/>
        <v>5033004.2727514487</v>
      </c>
      <c r="O55" s="116">
        <f t="shared" si="11"/>
        <v>5200088.7954637064</v>
      </c>
      <c r="P55" s="116">
        <f t="shared" si="11"/>
        <v>5372507.7417479251</v>
      </c>
      <c r="Q55" s="116">
        <f t="shared" si="11"/>
        <v>5550427.5820690766</v>
      </c>
      <c r="R55" s="116">
        <f t="shared" si="11"/>
        <v>5734019.9097612388</v>
      </c>
      <c r="S55" s="116">
        <f t="shared" si="11"/>
        <v>5923461.597288765</v>
      </c>
      <c r="T55" s="116">
        <f t="shared" si="11"/>
        <v>6118934.9572468111</v>
      </c>
      <c r="U55" s="116">
        <f t="shared" si="11"/>
        <v>6320627.9082443872</v>
      </c>
      <c r="V55" s="116">
        <f t="shared" si="11"/>
        <v>6528734.145817494</v>
      </c>
      <c r="W55" s="116">
        <f t="shared" si="11"/>
        <v>6743453.3185243104</v>
      </c>
      <c r="X55" s="116">
        <f t="shared" si="11"/>
        <v>6964991.2093789764</v>
      </c>
      <c r="Y55" s="116">
        <f t="shared" si="11"/>
        <v>7193559.9227852607</v>
      </c>
      <c r="Z55" s="116">
        <f t="shared" si="11"/>
        <v>7429378.0771362334</v>
      </c>
      <c r="AA55" s="116">
        <f t="shared" si="11"/>
        <v>7672671.0032510813</v>
      </c>
      <c r="AB55" s="116">
        <f t="shared" si="11"/>
        <v>7923670.948825391</v>
      </c>
      <c r="AC55" s="116">
        <f t="shared" si="11"/>
        <v>8182617.2890764643</v>
      </c>
      <c r="AD55" s="116">
        <f t="shared" si="11"/>
        <v>8449756.7437707987</v>
      </c>
      <c r="AE55" s="116">
        <f t="shared" si="11"/>
        <v>8725343.600826405</v>
      </c>
      <c r="AF55" s="116">
        <f t="shared" si="11"/>
        <v>9009639.9466885217</v>
      </c>
      <c r="AG55" s="116">
        <f t="shared" si="11"/>
        <v>9302915.9036832526</v>
      </c>
      <c r="AH55" s="116">
        <f t="shared" si="11"/>
        <v>9605449.8745597098</v>
      </c>
      <c r="AI55" s="116">
        <f t="shared" si="11"/>
        <v>9917528.794437781</v>
      </c>
      <c r="AJ55" s="116">
        <f t="shared" si="11"/>
        <v>10239448.390385013</v>
      </c>
      <c r="AK55" s="116">
        <f t="shared" si="11"/>
        <v>10571513.448852947</v>
      </c>
    </row>
    <row r="57" spans="2:37">
      <c r="B57" s="111" t="s">
        <v>582</v>
      </c>
    </row>
    <row r="58" spans="2:37">
      <c r="C58" s="111" t="s">
        <v>583</v>
      </c>
      <c r="H58" s="116">
        <f>-IF($G$27=10,SUM(H90:R90)*G12,SUM(H90:L90)*$G$12)</f>
        <v>-4913725.873625733</v>
      </c>
    </row>
    <row r="59" spans="2:37">
      <c r="C59" s="111" t="s">
        <v>584</v>
      </c>
      <c r="H59" s="116">
        <f>-G22*G12</f>
        <v>-3136455.0000000005</v>
      </c>
    </row>
    <row r="61" spans="2:37">
      <c r="B61" s="111" t="s">
        <v>6</v>
      </c>
      <c r="G61" s="116">
        <f t="shared" ref="G61:R61" ca="1" si="12">IF(G37&lt;=$G$27+1,G40+G55+SUM(G58:G59),0)</f>
        <v>-56357641.061013132</v>
      </c>
      <c r="H61" s="116">
        <f t="shared" si="12"/>
        <v>-3916375.0030257329</v>
      </c>
      <c r="I61" s="116">
        <f t="shared" si="12"/>
        <v>4272111.4084740002</v>
      </c>
      <c r="J61" s="116">
        <f t="shared" si="12"/>
        <v>4414851.9397193398</v>
      </c>
      <c r="K61" s="116">
        <f t="shared" si="12"/>
        <v>4562166.2306818636</v>
      </c>
      <c r="L61" s="116">
        <f t="shared" si="12"/>
        <v>4714197.3250286803</v>
      </c>
      <c r="M61" s="116">
        <f t="shared" si="12"/>
        <v>4871092.6743544284</v>
      </c>
      <c r="N61" s="116">
        <f t="shared" si="12"/>
        <v>5033004.2727514487</v>
      </c>
      <c r="O61" s="116">
        <f t="shared" si="12"/>
        <v>5200088.7954637064</v>
      </c>
      <c r="P61" s="116">
        <f t="shared" si="12"/>
        <v>5372507.7417479251</v>
      </c>
      <c r="Q61" s="116">
        <f t="shared" si="12"/>
        <v>5550427.5820690766</v>
      </c>
      <c r="R61" s="116">
        <f t="shared" si="12"/>
        <v>5734019.9097612388</v>
      </c>
      <c r="S61" s="116">
        <f t="shared" ref="S61:AK61" si="13">IF(S37&lt;=$G$27+1,S40+S55+SUM(S58:S59),0)</f>
        <v>0</v>
      </c>
      <c r="T61" s="116">
        <f t="shared" si="13"/>
        <v>0</v>
      </c>
      <c r="U61" s="116">
        <f t="shared" si="13"/>
        <v>0</v>
      </c>
      <c r="V61" s="116">
        <f t="shared" si="13"/>
        <v>0</v>
      </c>
      <c r="W61" s="116">
        <f t="shared" si="13"/>
        <v>0</v>
      </c>
      <c r="X61" s="116">
        <f t="shared" si="13"/>
        <v>0</v>
      </c>
      <c r="Y61" s="116">
        <f t="shared" si="13"/>
        <v>0</v>
      </c>
      <c r="Z61" s="116">
        <f t="shared" si="13"/>
        <v>0</v>
      </c>
      <c r="AA61" s="116">
        <f t="shared" si="13"/>
        <v>0</v>
      </c>
      <c r="AB61" s="116">
        <f t="shared" si="13"/>
        <v>0</v>
      </c>
      <c r="AC61" s="116">
        <f t="shared" si="13"/>
        <v>0</v>
      </c>
      <c r="AD61" s="116">
        <f t="shared" si="13"/>
        <v>0</v>
      </c>
      <c r="AE61" s="116">
        <f t="shared" si="13"/>
        <v>0</v>
      </c>
      <c r="AF61" s="116">
        <f t="shared" si="13"/>
        <v>0</v>
      </c>
      <c r="AG61" s="116">
        <f t="shared" si="13"/>
        <v>0</v>
      </c>
      <c r="AH61" s="116">
        <f t="shared" si="13"/>
        <v>0</v>
      </c>
      <c r="AI61" s="116">
        <f t="shared" si="13"/>
        <v>0</v>
      </c>
      <c r="AJ61" s="116">
        <f t="shared" si="13"/>
        <v>0</v>
      </c>
      <c r="AK61" s="116">
        <f t="shared" si="13"/>
        <v>0</v>
      </c>
    </row>
    <row r="62" spans="2:37"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</row>
    <row r="63" spans="2:37">
      <c r="B63" s="111" t="s">
        <v>525</v>
      </c>
      <c r="H63" s="116">
        <f t="shared" ref="H63:AJ63" si="14">IF(H37=$G$27,I61/$G$25,0)</f>
        <v>0</v>
      </c>
      <c r="I63" s="116">
        <f t="shared" si="14"/>
        <v>0</v>
      </c>
      <c r="J63" s="116">
        <f t="shared" si="14"/>
        <v>0</v>
      </c>
      <c r="K63" s="116">
        <f t="shared" si="14"/>
        <v>0</v>
      </c>
      <c r="L63" s="116">
        <f t="shared" si="14"/>
        <v>0</v>
      </c>
      <c r="M63" s="116">
        <f t="shared" si="14"/>
        <v>0</v>
      </c>
      <c r="N63" s="116">
        <f t="shared" si="14"/>
        <v>0</v>
      </c>
      <c r="O63" s="116">
        <f t="shared" si="14"/>
        <v>0</v>
      </c>
      <c r="P63" s="116">
        <f t="shared" si="14"/>
        <v>0</v>
      </c>
      <c r="Q63" s="116">
        <f t="shared" si="14"/>
        <v>114680398.19522478</v>
      </c>
      <c r="R63" s="116">
        <f t="shared" si="14"/>
        <v>0</v>
      </c>
      <c r="S63" s="116">
        <f t="shared" si="14"/>
        <v>0</v>
      </c>
      <c r="T63" s="116">
        <f t="shared" si="14"/>
        <v>0</v>
      </c>
      <c r="U63" s="116">
        <f t="shared" si="14"/>
        <v>0</v>
      </c>
      <c r="V63" s="116">
        <f t="shared" si="14"/>
        <v>0</v>
      </c>
      <c r="W63" s="116">
        <f t="shared" si="14"/>
        <v>0</v>
      </c>
      <c r="X63" s="116">
        <f t="shared" si="14"/>
        <v>0</v>
      </c>
      <c r="Y63" s="116">
        <f t="shared" si="14"/>
        <v>0</v>
      </c>
      <c r="Z63" s="116">
        <f t="shared" si="14"/>
        <v>0</v>
      </c>
      <c r="AA63" s="116">
        <f t="shared" si="14"/>
        <v>0</v>
      </c>
      <c r="AB63" s="116">
        <f t="shared" si="14"/>
        <v>0</v>
      </c>
      <c r="AC63" s="116">
        <f t="shared" si="14"/>
        <v>0</v>
      </c>
      <c r="AD63" s="116">
        <f t="shared" si="14"/>
        <v>0</v>
      </c>
      <c r="AE63" s="116">
        <f t="shared" si="14"/>
        <v>0</v>
      </c>
      <c r="AF63" s="116">
        <f t="shared" si="14"/>
        <v>0</v>
      </c>
      <c r="AG63" s="116">
        <f t="shared" si="14"/>
        <v>0</v>
      </c>
      <c r="AH63" s="116">
        <f t="shared" si="14"/>
        <v>0</v>
      </c>
      <c r="AI63" s="116">
        <f t="shared" si="14"/>
        <v>0</v>
      </c>
      <c r="AJ63" s="116">
        <f t="shared" si="14"/>
        <v>0</v>
      </c>
      <c r="AK63" s="116">
        <f>IF(AK37=$G$27,#REF!/$G$25,0)</f>
        <v>0</v>
      </c>
    </row>
    <row r="64" spans="2:37">
      <c r="B64" s="111" t="s">
        <v>393</v>
      </c>
      <c r="H64" s="116">
        <f>-H63*$G$28</f>
        <v>0</v>
      </c>
      <c r="I64" s="116">
        <f t="shared" ref="I64:AK64" si="15">-I63*$G$28</f>
        <v>0</v>
      </c>
      <c r="J64" s="116">
        <f t="shared" si="15"/>
        <v>0</v>
      </c>
      <c r="K64" s="116">
        <f t="shared" si="15"/>
        <v>0</v>
      </c>
      <c r="L64" s="116">
        <f t="shared" si="15"/>
        <v>0</v>
      </c>
      <c r="M64" s="116">
        <f t="shared" si="15"/>
        <v>0</v>
      </c>
      <c r="N64" s="116">
        <f t="shared" si="15"/>
        <v>0</v>
      </c>
      <c r="O64" s="116">
        <f t="shared" si="15"/>
        <v>0</v>
      </c>
      <c r="P64" s="116">
        <f t="shared" si="15"/>
        <v>0</v>
      </c>
      <c r="Q64" s="116">
        <f t="shared" si="15"/>
        <v>0</v>
      </c>
      <c r="R64" s="116">
        <f t="shared" si="15"/>
        <v>0</v>
      </c>
      <c r="S64" s="116">
        <f t="shared" si="15"/>
        <v>0</v>
      </c>
      <c r="T64" s="116">
        <f t="shared" si="15"/>
        <v>0</v>
      </c>
      <c r="U64" s="116">
        <f t="shared" si="15"/>
        <v>0</v>
      </c>
      <c r="V64" s="116">
        <f t="shared" si="15"/>
        <v>0</v>
      </c>
      <c r="W64" s="116">
        <f t="shared" si="15"/>
        <v>0</v>
      </c>
      <c r="X64" s="116">
        <f t="shared" si="15"/>
        <v>0</v>
      </c>
      <c r="Y64" s="116">
        <f t="shared" si="15"/>
        <v>0</v>
      </c>
      <c r="Z64" s="116">
        <f t="shared" si="15"/>
        <v>0</v>
      </c>
      <c r="AA64" s="116">
        <f t="shared" si="15"/>
        <v>0</v>
      </c>
      <c r="AB64" s="116">
        <f t="shared" si="15"/>
        <v>0</v>
      </c>
      <c r="AC64" s="116">
        <f t="shared" si="15"/>
        <v>0</v>
      </c>
      <c r="AD64" s="116">
        <f t="shared" si="15"/>
        <v>0</v>
      </c>
      <c r="AE64" s="116">
        <f t="shared" si="15"/>
        <v>0</v>
      </c>
      <c r="AF64" s="116">
        <f t="shared" si="15"/>
        <v>0</v>
      </c>
      <c r="AG64" s="116">
        <f t="shared" si="15"/>
        <v>0</v>
      </c>
      <c r="AH64" s="116">
        <f t="shared" si="15"/>
        <v>0</v>
      </c>
      <c r="AI64" s="116">
        <f t="shared" si="15"/>
        <v>0</v>
      </c>
      <c r="AJ64" s="116">
        <f t="shared" si="15"/>
        <v>0</v>
      </c>
      <c r="AK64" s="116">
        <f t="shared" si="15"/>
        <v>0</v>
      </c>
    </row>
    <row r="65" spans="2:37">
      <c r="B65" s="120" t="s">
        <v>526</v>
      </c>
      <c r="C65" s="120"/>
      <c r="D65" s="120"/>
      <c r="E65" s="120"/>
      <c r="F65" s="120"/>
      <c r="G65" s="121">
        <f ca="1">SUM(G61:G64)</f>
        <v>-56357641.061013132</v>
      </c>
      <c r="H65" s="121">
        <f t="shared" ref="H65:AK65" si="16">SUM(H61:H64)</f>
        <v>-3916375.0030257329</v>
      </c>
      <c r="I65" s="121">
        <f t="shared" si="16"/>
        <v>4272111.4084740002</v>
      </c>
      <c r="J65" s="121">
        <f t="shared" si="16"/>
        <v>4414851.9397193398</v>
      </c>
      <c r="K65" s="121">
        <f t="shared" si="16"/>
        <v>4562166.2306818636</v>
      </c>
      <c r="L65" s="121">
        <f t="shared" si="16"/>
        <v>4714197.3250286803</v>
      </c>
      <c r="M65" s="121">
        <f t="shared" si="16"/>
        <v>4871092.6743544284</v>
      </c>
      <c r="N65" s="121">
        <f t="shared" si="16"/>
        <v>5033004.2727514487</v>
      </c>
      <c r="O65" s="121">
        <f t="shared" si="16"/>
        <v>5200088.7954637064</v>
      </c>
      <c r="P65" s="121">
        <f t="shared" si="16"/>
        <v>5372507.7417479251</v>
      </c>
      <c r="Q65" s="121">
        <f t="shared" si="16"/>
        <v>120230825.77729386</v>
      </c>
      <c r="R65" s="121">
        <f t="shared" si="16"/>
        <v>5734019.9097612388</v>
      </c>
      <c r="S65" s="121">
        <f t="shared" si="16"/>
        <v>0</v>
      </c>
      <c r="T65" s="121">
        <f t="shared" si="16"/>
        <v>0</v>
      </c>
      <c r="U65" s="121">
        <f t="shared" si="16"/>
        <v>0</v>
      </c>
      <c r="V65" s="121">
        <f t="shared" si="16"/>
        <v>0</v>
      </c>
      <c r="W65" s="121">
        <f t="shared" si="16"/>
        <v>0</v>
      </c>
      <c r="X65" s="121">
        <f t="shared" si="16"/>
        <v>0</v>
      </c>
      <c r="Y65" s="121">
        <f t="shared" si="16"/>
        <v>0</v>
      </c>
      <c r="Z65" s="121">
        <f t="shared" si="16"/>
        <v>0</v>
      </c>
      <c r="AA65" s="121">
        <f t="shared" si="16"/>
        <v>0</v>
      </c>
      <c r="AB65" s="121">
        <f t="shared" si="16"/>
        <v>0</v>
      </c>
      <c r="AC65" s="121">
        <f t="shared" si="16"/>
        <v>0</v>
      </c>
      <c r="AD65" s="121">
        <f t="shared" si="16"/>
        <v>0</v>
      </c>
      <c r="AE65" s="121">
        <f t="shared" si="16"/>
        <v>0</v>
      </c>
      <c r="AF65" s="121">
        <f t="shared" si="16"/>
        <v>0</v>
      </c>
      <c r="AG65" s="121">
        <f t="shared" si="16"/>
        <v>0</v>
      </c>
      <c r="AH65" s="121">
        <f t="shared" si="16"/>
        <v>0</v>
      </c>
      <c r="AI65" s="121">
        <f t="shared" si="16"/>
        <v>0</v>
      </c>
      <c r="AJ65" s="121">
        <f t="shared" si="16"/>
        <v>0</v>
      </c>
      <c r="AK65" s="121">
        <f t="shared" si="16"/>
        <v>0</v>
      </c>
    </row>
    <row r="66" spans="2:37" ht="15" thickBot="1"/>
    <row r="67" spans="2:37">
      <c r="B67" s="132" t="s">
        <v>527</v>
      </c>
      <c r="C67" s="133"/>
      <c r="D67" s="133"/>
      <c r="E67" s="133"/>
      <c r="F67" s="133"/>
      <c r="G67" s="134">
        <f ca="1">SUM(G65:R65)</f>
        <v>104130850.01123764</v>
      </c>
    </row>
    <row r="68" spans="2:37">
      <c r="B68" s="135" t="s">
        <v>528</v>
      </c>
      <c r="G68" s="136">
        <f>NPV($R$21,H65:R65)</f>
        <v>79755477.821766302</v>
      </c>
    </row>
    <row r="69" spans="2:37">
      <c r="B69" s="135" t="s">
        <v>529</v>
      </c>
      <c r="G69" s="136">
        <f ca="1">G68+G65</f>
        <v>23397836.76075317</v>
      </c>
    </row>
    <row r="70" spans="2:37">
      <c r="B70" s="135" t="s">
        <v>530</v>
      </c>
      <c r="G70" s="137">
        <f ca="1">IRR(G65:R65)</f>
        <v>0.12315337386015024</v>
      </c>
    </row>
    <row r="71" spans="2:37" ht="15" thickBot="1">
      <c r="B71" s="138" t="s">
        <v>531</v>
      </c>
      <c r="C71" s="139"/>
      <c r="D71" s="139"/>
      <c r="E71" s="139"/>
      <c r="F71" s="139"/>
      <c r="G71" s="140">
        <f ca="1">(G67/-G65)+1</f>
        <v>2.8476793572411045</v>
      </c>
    </row>
    <row r="73" spans="2:37">
      <c r="B73" s="111" t="s">
        <v>532</v>
      </c>
      <c r="G73" s="116">
        <f ca="1">G34</f>
        <v>39450348.74270919</v>
      </c>
    </row>
    <row r="74" spans="2:37">
      <c r="B74" s="111" t="s">
        <v>533</v>
      </c>
      <c r="H74" s="116">
        <f t="shared" ref="H74:AK74" si="17">IF(H37=$G$27,FV($G$32/12,H37*12,$G$35,$G$34),0)</f>
        <v>0</v>
      </c>
      <c r="I74" s="116">
        <f t="shared" si="17"/>
        <v>0</v>
      </c>
      <c r="J74" s="116">
        <f t="shared" si="17"/>
        <v>0</v>
      </c>
      <c r="K74" s="116">
        <f t="shared" si="17"/>
        <v>0</v>
      </c>
      <c r="L74" s="116">
        <f t="shared" si="17"/>
        <v>0</v>
      </c>
      <c r="M74" s="116">
        <f t="shared" si="17"/>
        <v>0</v>
      </c>
      <c r="N74" s="116">
        <f t="shared" si="17"/>
        <v>0</v>
      </c>
      <c r="O74" s="116">
        <f t="shared" si="17"/>
        <v>0</v>
      </c>
      <c r="P74" s="116">
        <f t="shared" si="17"/>
        <v>0</v>
      </c>
      <c r="Q74" s="116">
        <f t="shared" ca="1" si="17"/>
        <v>-32089728.116605625</v>
      </c>
      <c r="R74" s="116">
        <f t="shared" si="17"/>
        <v>0</v>
      </c>
      <c r="S74" s="116">
        <f t="shared" si="17"/>
        <v>0</v>
      </c>
      <c r="T74" s="116">
        <f t="shared" si="17"/>
        <v>0</v>
      </c>
      <c r="U74" s="116">
        <f t="shared" si="17"/>
        <v>0</v>
      </c>
      <c r="V74" s="116">
        <f t="shared" si="17"/>
        <v>0</v>
      </c>
      <c r="W74" s="116">
        <f t="shared" si="17"/>
        <v>0</v>
      </c>
      <c r="X74" s="116">
        <f t="shared" si="17"/>
        <v>0</v>
      </c>
      <c r="Y74" s="116">
        <f t="shared" si="17"/>
        <v>0</v>
      </c>
      <c r="Z74" s="116">
        <f t="shared" si="17"/>
        <v>0</v>
      </c>
      <c r="AA74" s="116">
        <f t="shared" si="17"/>
        <v>0</v>
      </c>
      <c r="AB74" s="116">
        <f t="shared" si="17"/>
        <v>0</v>
      </c>
      <c r="AC74" s="116">
        <f t="shared" si="17"/>
        <v>0</v>
      </c>
      <c r="AD74" s="116">
        <f t="shared" si="17"/>
        <v>0</v>
      </c>
      <c r="AE74" s="116">
        <f t="shared" si="17"/>
        <v>0</v>
      </c>
      <c r="AF74" s="116">
        <f t="shared" si="17"/>
        <v>0</v>
      </c>
      <c r="AG74" s="116">
        <f t="shared" si="17"/>
        <v>0</v>
      </c>
      <c r="AH74" s="116">
        <f t="shared" si="17"/>
        <v>0</v>
      </c>
      <c r="AI74" s="116">
        <f t="shared" si="17"/>
        <v>0</v>
      </c>
      <c r="AJ74" s="116">
        <f t="shared" si="17"/>
        <v>0</v>
      </c>
      <c r="AK74" s="116">
        <f t="shared" si="17"/>
        <v>0</v>
      </c>
    </row>
    <row r="75" spans="2:37">
      <c r="B75" s="111" t="s">
        <v>534</v>
      </c>
      <c r="H75" s="116">
        <f ca="1">IF(H37&lt;=$G$27,$G$35*12,0)</f>
        <v>-2541336.0288547254</v>
      </c>
      <c r="I75" s="116">
        <f t="shared" ref="I75:AK75" ca="1" si="18">IF(I37&lt;=$G$27,$G$35*12,0)</f>
        <v>-2541336.0288547254</v>
      </c>
      <c r="J75" s="116">
        <f t="shared" ca="1" si="18"/>
        <v>-2541336.0288547254</v>
      </c>
      <c r="K75" s="116">
        <f t="shared" ca="1" si="18"/>
        <v>-2541336.0288547254</v>
      </c>
      <c r="L75" s="116">
        <f t="shared" ca="1" si="18"/>
        <v>-2541336.0288547254</v>
      </c>
      <c r="M75" s="116">
        <f t="shared" ca="1" si="18"/>
        <v>-2541336.0288547254</v>
      </c>
      <c r="N75" s="116">
        <f t="shared" ca="1" si="18"/>
        <v>-2541336.0288547254</v>
      </c>
      <c r="O75" s="116">
        <f t="shared" ca="1" si="18"/>
        <v>-2541336.0288547254</v>
      </c>
      <c r="P75" s="116">
        <f t="shared" ca="1" si="18"/>
        <v>-2541336.0288547254</v>
      </c>
      <c r="Q75" s="116">
        <f t="shared" ca="1" si="18"/>
        <v>-2541336.0288547254</v>
      </c>
      <c r="R75" s="116">
        <f t="shared" si="18"/>
        <v>0</v>
      </c>
      <c r="S75" s="116">
        <f t="shared" si="18"/>
        <v>0</v>
      </c>
      <c r="T75" s="116">
        <f t="shared" si="18"/>
        <v>0</v>
      </c>
      <c r="U75" s="116">
        <f t="shared" si="18"/>
        <v>0</v>
      </c>
      <c r="V75" s="116">
        <f t="shared" si="18"/>
        <v>0</v>
      </c>
      <c r="W75" s="116">
        <f t="shared" si="18"/>
        <v>0</v>
      </c>
      <c r="X75" s="116">
        <f t="shared" si="18"/>
        <v>0</v>
      </c>
      <c r="Y75" s="116">
        <f t="shared" si="18"/>
        <v>0</v>
      </c>
      <c r="Z75" s="116">
        <f t="shared" si="18"/>
        <v>0</v>
      </c>
      <c r="AA75" s="116">
        <f t="shared" si="18"/>
        <v>0</v>
      </c>
      <c r="AB75" s="116">
        <f t="shared" si="18"/>
        <v>0</v>
      </c>
      <c r="AC75" s="116">
        <f t="shared" si="18"/>
        <v>0</v>
      </c>
      <c r="AD75" s="116">
        <f t="shared" si="18"/>
        <v>0</v>
      </c>
      <c r="AE75" s="116">
        <f t="shared" si="18"/>
        <v>0</v>
      </c>
      <c r="AF75" s="116">
        <f t="shared" si="18"/>
        <v>0</v>
      </c>
      <c r="AG75" s="116">
        <f t="shared" si="18"/>
        <v>0</v>
      </c>
      <c r="AH75" s="116">
        <f t="shared" si="18"/>
        <v>0</v>
      </c>
      <c r="AI75" s="116">
        <f t="shared" si="18"/>
        <v>0</v>
      </c>
      <c r="AJ75" s="116">
        <f t="shared" si="18"/>
        <v>0</v>
      </c>
      <c r="AK75" s="116">
        <f t="shared" si="18"/>
        <v>0</v>
      </c>
    </row>
    <row r="77" spans="2:37">
      <c r="B77" s="111" t="s">
        <v>535</v>
      </c>
      <c r="G77" s="116">
        <f t="shared" ref="G77:AK77" ca="1" si="19">IF(G37&lt;=$G$27,SUM(G65,G73:G75),0)</f>
        <v>-16907292.318303943</v>
      </c>
      <c r="H77" s="116">
        <f t="shared" ca="1" si="19"/>
        <v>-6457711.0318804588</v>
      </c>
      <c r="I77" s="116">
        <f t="shared" ca="1" si="19"/>
        <v>1730775.3796192748</v>
      </c>
      <c r="J77" s="116">
        <f t="shared" ca="1" si="19"/>
        <v>1873515.9108646144</v>
      </c>
      <c r="K77" s="116">
        <f t="shared" ca="1" si="19"/>
        <v>2020830.2018271382</v>
      </c>
      <c r="L77" s="116">
        <f t="shared" ca="1" si="19"/>
        <v>2172861.2961739548</v>
      </c>
      <c r="M77" s="116">
        <f t="shared" ca="1" si="19"/>
        <v>2329756.645499703</v>
      </c>
      <c r="N77" s="116">
        <f t="shared" ca="1" si="19"/>
        <v>2491668.2438967233</v>
      </c>
      <c r="O77" s="116">
        <f t="shared" ca="1" si="19"/>
        <v>2658752.7666089809</v>
      </c>
      <c r="P77" s="116">
        <f t="shared" ca="1" si="19"/>
        <v>2831171.7128931996</v>
      </c>
      <c r="Q77" s="116">
        <f t="shared" ca="1" si="19"/>
        <v>85599761.631833509</v>
      </c>
      <c r="R77" s="116">
        <f t="shared" si="19"/>
        <v>0</v>
      </c>
      <c r="S77" s="116">
        <f t="shared" si="19"/>
        <v>0</v>
      </c>
      <c r="T77" s="116">
        <f t="shared" si="19"/>
        <v>0</v>
      </c>
      <c r="U77" s="116">
        <f t="shared" si="19"/>
        <v>0</v>
      </c>
      <c r="V77" s="116">
        <f t="shared" si="19"/>
        <v>0</v>
      </c>
      <c r="W77" s="116">
        <f t="shared" si="19"/>
        <v>0</v>
      </c>
      <c r="X77" s="116">
        <f t="shared" si="19"/>
        <v>0</v>
      </c>
      <c r="Y77" s="116">
        <f t="shared" si="19"/>
        <v>0</v>
      </c>
      <c r="Z77" s="116">
        <f t="shared" si="19"/>
        <v>0</v>
      </c>
      <c r="AA77" s="116">
        <f t="shared" si="19"/>
        <v>0</v>
      </c>
      <c r="AB77" s="116">
        <f t="shared" si="19"/>
        <v>0</v>
      </c>
      <c r="AC77" s="116">
        <f t="shared" si="19"/>
        <v>0</v>
      </c>
      <c r="AD77" s="116">
        <f t="shared" si="19"/>
        <v>0</v>
      </c>
      <c r="AE77" s="116">
        <f t="shared" si="19"/>
        <v>0</v>
      </c>
      <c r="AF77" s="116">
        <f t="shared" si="19"/>
        <v>0</v>
      </c>
      <c r="AG77" s="116">
        <f t="shared" si="19"/>
        <v>0</v>
      </c>
      <c r="AH77" s="116">
        <f t="shared" si="19"/>
        <v>0</v>
      </c>
      <c r="AI77" s="116">
        <f t="shared" si="19"/>
        <v>0</v>
      </c>
      <c r="AJ77" s="116">
        <f t="shared" si="19"/>
        <v>0</v>
      </c>
      <c r="AK77" s="116">
        <f t="shared" si="19"/>
        <v>0</v>
      </c>
    </row>
    <row r="78" spans="2:37" ht="15" thickBot="1"/>
    <row r="79" spans="2:37">
      <c r="B79" s="132" t="s">
        <v>527</v>
      </c>
      <c r="C79" s="133"/>
      <c r="D79" s="133"/>
      <c r="E79" s="133"/>
      <c r="F79" s="133"/>
      <c r="G79" s="134">
        <f ca="1">SUM(G77:R77)</f>
        <v>80344090.439032689</v>
      </c>
    </row>
    <row r="80" spans="2:37">
      <c r="B80" s="135" t="s">
        <v>528</v>
      </c>
      <c r="G80" s="136">
        <f ca="1">NPV($R$21,H77:R77)</f>
        <v>45379930.253671251</v>
      </c>
    </row>
    <row r="81" spans="1:37">
      <c r="B81" s="135" t="s">
        <v>529</v>
      </c>
      <c r="G81" s="136">
        <f ca="1">G80+G77</f>
        <v>28472637.935367309</v>
      </c>
    </row>
    <row r="82" spans="1:37">
      <c r="B82" s="135" t="s">
        <v>536</v>
      </c>
      <c r="G82" s="141">
        <f ca="1">IRR(G77:R77)</f>
        <v>0.1884260989685147</v>
      </c>
    </row>
    <row r="83" spans="1:37" ht="15" thickBot="1">
      <c r="B83" s="138" t="s">
        <v>531</v>
      </c>
      <c r="C83" s="139"/>
      <c r="D83" s="139"/>
      <c r="E83" s="139"/>
      <c r="F83" s="139"/>
      <c r="G83" s="140">
        <f ca="1">(G79/-G77)+1</f>
        <v>5.7520376963052602</v>
      </c>
    </row>
    <row r="85" spans="1:37" s="113" customFormat="1">
      <c r="A85" s="142" t="s">
        <v>472</v>
      </c>
      <c r="B85" s="265" t="s">
        <v>585</v>
      </c>
      <c r="C85" s="265"/>
      <c r="D85" s="265"/>
      <c r="E85" s="265"/>
      <c r="F85" s="265"/>
      <c r="G85" s="265"/>
      <c r="H85" s="267">
        <f t="shared" ref="H85:AK85" si="20">H37</f>
        <v>1</v>
      </c>
      <c r="I85" s="267">
        <f t="shared" si="20"/>
        <v>2</v>
      </c>
      <c r="J85" s="267">
        <f t="shared" si="20"/>
        <v>3</v>
      </c>
      <c r="K85" s="267">
        <f t="shared" si="20"/>
        <v>4</v>
      </c>
      <c r="L85" s="267">
        <f t="shared" si="20"/>
        <v>5</v>
      </c>
      <c r="M85" s="267">
        <f t="shared" si="20"/>
        <v>6</v>
      </c>
      <c r="N85" s="267">
        <f t="shared" si="20"/>
        <v>7</v>
      </c>
      <c r="O85" s="267">
        <f t="shared" si="20"/>
        <v>8</v>
      </c>
      <c r="P85" s="267">
        <f t="shared" si="20"/>
        <v>9</v>
      </c>
      <c r="Q85" s="267">
        <f t="shared" si="20"/>
        <v>10</v>
      </c>
      <c r="R85" s="267">
        <f t="shared" si="20"/>
        <v>11</v>
      </c>
      <c r="S85" s="129">
        <f t="shared" si="20"/>
        <v>12</v>
      </c>
      <c r="T85" s="129">
        <f t="shared" si="20"/>
        <v>13</v>
      </c>
      <c r="U85" s="129">
        <f t="shared" si="20"/>
        <v>14</v>
      </c>
      <c r="V85" s="129">
        <f t="shared" si="20"/>
        <v>15</v>
      </c>
      <c r="W85" s="129">
        <f t="shared" si="20"/>
        <v>16</v>
      </c>
      <c r="X85" s="129">
        <f t="shared" si="20"/>
        <v>17</v>
      </c>
      <c r="Y85" s="129">
        <f t="shared" si="20"/>
        <v>18</v>
      </c>
      <c r="Z85" s="129">
        <f t="shared" si="20"/>
        <v>19</v>
      </c>
      <c r="AA85" s="129">
        <f t="shared" si="20"/>
        <v>20</v>
      </c>
      <c r="AB85" s="129">
        <f t="shared" si="20"/>
        <v>21</v>
      </c>
      <c r="AC85" s="129">
        <f t="shared" si="20"/>
        <v>22</v>
      </c>
      <c r="AD85" s="129">
        <f t="shared" si="20"/>
        <v>23</v>
      </c>
      <c r="AE85" s="129">
        <f t="shared" si="20"/>
        <v>24</v>
      </c>
      <c r="AF85" s="129">
        <f t="shared" si="20"/>
        <v>25</v>
      </c>
      <c r="AG85" s="129">
        <f t="shared" si="20"/>
        <v>26</v>
      </c>
      <c r="AH85" s="129">
        <f t="shared" si="20"/>
        <v>27</v>
      </c>
      <c r="AI85" s="129">
        <f t="shared" si="20"/>
        <v>28</v>
      </c>
      <c r="AJ85" s="129">
        <f t="shared" si="20"/>
        <v>29</v>
      </c>
      <c r="AK85" s="129">
        <f t="shared" si="20"/>
        <v>30</v>
      </c>
    </row>
    <row r="86" spans="1:37">
      <c r="B86" s="111" t="s">
        <v>586</v>
      </c>
      <c r="H86" s="117">
        <f t="shared" ref="H86:AK86" si="21">H42/$G$12</f>
        <v>30.58</v>
      </c>
      <c r="I86" s="117">
        <f t="shared" si="21"/>
        <v>31.497399999999999</v>
      </c>
      <c r="J86" s="117">
        <f t="shared" si="21"/>
        <v>32.442321999999997</v>
      </c>
      <c r="K86" s="117">
        <f t="shared" si="21"/>
        <v>33.415591659999997</v>
      </c>
      <c r="L86" s="117">
        <f t="shared" si="21"/>
        <v>34.418059409799994</v>
      </c>
      <c r="M86" s="117">
        <f t="shared" si="21"/>
        <v>35.450601192093991</v>
      </c>
      <c r="N86" s="117">
        <f t="shared" si="21"/>
        <v>36.514119227856817</v>
      </c>
      <c r="O86" s="117">
        <f t="shared" si="21"/>
        <v>37.609542804692524</v>
      </c>
      <c r="P86" s="117">
        <f t="shared" si="21"/>
        <v>38.737829088833294</v>
      </c>
      <c r="Q86" s="117">
        <f t="shared" si="21"/>
        <v>39.899963961498294</v>
      </c>
      <c r="R86" s="117">
        <f t="shared" si="21"/>
        <v>41.096962880343249</v>
      </c>
      <c r="S86" s="117">
        <f t="shared" si="21"/>
        <v>42.329871766753541</v>
      </c>
      <c r="T86" s="117">
        <f t="shared" si="21"/>
        <v>43.59976791975614</v>
      </c>
      <c r="U86" s="117">
        <f t="shared" si="21"/>
        <v>44.90776095734882</v>
      </c>
      <c r="V86" s="117">
        <f t="shared" si="21"/>
        <v>46.254993786069292</v>
      </c>
      <c r="W86" s="117">
        <f t="shared" si="21"/>
        <v>47.642643599651372</v>
      </c>
      <c r="X86" s="117">
        <f t="shared" si="21"/>
        <v>49.071922907640911</v>
      </c>
      <c r="Y86" s="117">
        <f t="shared" si="21"/>
        <v>50.544080594870131</v>
      </c>
      <c r="Z86" s="117">
        <f t="shared" si="21"/>
        <v>52.060403012716236</v>
      </c>
      <c r="AA86" s="117">
        <f t="shared" si="21"/>
        <v>53.622215103097723</v>
      </c>
      <c r="AB86" s="117">
        <f t="shared" si="21"/>
        <v>55.230881556190653</v>
      </c>
      <c r="AC86" s="117">
        <f t="shared" si="21"/>
        <v>56.887808002876369</v>
      </c>
      <c r="AD86" s="117">
        <f t="shared" si="21"/>
        <v>58.594442242962664</v>
      </c>
      <c r="AE86" s="117">
        <f t="shared" si="21"/>
        <v>60.352275510251552</v>
      </c>
      <c r="AF86" s="117">
        <f t="shared" si="21"/>
        <v>62.162843775559082</v>
      </c>
      <c r="AG86" s="117">
        <f t="shared" si="21"/>
        <v>64.027729088825851</v>
      </c>
      <c r="AH86" s="117">
        <f t="shared" si="21"/>
        <v>65.948560961490642</v>
      </c>
      <c r="AI86" s="117">
        <f t="shared" si="21"/>
        <v>67.927017790335356</v>
      </c>
      <c r="AJ86" s="117">
        <f t="shared" si="21"/>
        <v>69.964828324045413</v>
      </c>
      <c r="AK86" s="117">
        <f t="shared" si="21"/>
        <v>72.063773173766762</v>
      </c>
    </row>
    <row r="87" spans="1:37">
      <c r="B87" s="111" t="s">
        <v>573</v>
      </c>
      <c r="H87" s="117">
        <f t="shared" ref="H87:AK87" si="22">H44/$G$12</f>
        <v>0</v>
      </c>
      <c r="I87" s="117">
        <f t="shared" si="22"/>
        <v>0</v>
      </c>
      <c r="J87" s="117">
        <f t="shared" si="22"/>
        <v>0</v>
      </c>
      <c r="K87" s="117">
        <f t="shared" si="22"/>
        <v>0</v>
      </c>
      <c r="L87" s="117">
        <f t="shared" si="22"/>
        <v>0</v>
      </c>
      <c r="M87" s="117">
        <f t="shared" si="22"/>
        <v>0</v>
      </c>
      <c r="N87" s="117">
        <f t="shared" si="22"/>
        <v>0</v>
      </c>
      <c r="O87" s="117">
        <f t="shared" si="22"/>
        <v>0</v>
      </c>
      <c r="P87" s="117">
        <f t="shared" si="22"/>
        <v>0</v>
      </c>
      <c r="Q87" s="117">
        <f t="shared" si="22"/>
        <v>0</v>
      </c>
      <c r="R87" s="117">
        <f t="shared" si="22"/>
        <v>0</v>
      </c>
      <c r="S87" s="117">
        <f t="shared" si="22"/>
        <v>0</v>
      </c>
      <c r="T87" s="117">
        <f t="shared" si="22"/>
        <v>0</v>
      </c>
      <c r="U87" s="117">
        <f t="shared" si="22"/>
        <v>0</v>
      </c>
      <c r="V87" s="117">
        <f t="shared" si="22"/>
        <v>0</v>
      </c>
      <c r="W87" s="117">
        <f t="shared" si="22"/>
        <v>0</v>
      </c>
      <c r="X87" s="117">
        <f t="shared" si="22"/>
        <v>0</v>
      </c>
      <c r="Y87" s="117">
        <f t="shared" si="22"/>
        <v>0</v>
      </c>
      <c r="Z87" s="117">
        <f t="shared" si="22"/>
        <v>0</v>
      </c>
      <c r="AA87" s="117">
        <f t="shared" si="22"/>
        <v>0</v>
      </c>
      <c r="AB87" s="117">
        <f t="shared" si="22"/>
        <v>0</v>
      </c>
      <c r="AC87" s="117">
        <f t="shared" si="22"/>
        <v>0</v>
      </c>
      <c r="AD87" s="117">
        <f t="shared" si="22"/>
        <v>0</v>
      </c>
      <c r="AE87" s="117">
        <f t="shared" si="22"/>
        <v>0</v>
      </c>
      <c r="AF87" s="117">
        <f t="shared" si="22"/>
        <v>0</v>
      </c>
      <c r="AG87" s="117">
        <f t="shared" si="22"/>
        <v>0</v>
      </c>
      <c r="AH87" s="117">
        <f t="shared" si="22"/>
        <v>0</v>
      </c>
      <c r="AI87" s="117">
        <f t="shared" si="22"/>
        <v>0</v>
      </c>
      <c r="AJ87" s="117">
        <f t="shared" si="22"/>
        <v>0</v>
      </c>
      <c r="AK87" s="117">
        <f t="shared" si="22"/>
        <v>0</v>
      </c>
    </row>
    <row r="88" spans="1:37">
      <c r="B88" s="111" t="s">
        <v>16</v>
      </c>
      <c r="H88" s="117">
        <f>H86-H87</f>
        <v>30.58</v>
      </c>
      <c r="I88" s="117">
        <f t="shared" ref="I88:AK88" si="23">I86-I87</f>
        <v>31.497399999999999</v>
      </c>
      <c r="J88" s="117">
        <f t="shared" si="23"/>
        <v>32.442321999999997</v>
      </c>
      <c r="K88" s="117">
        <f t="shared" si="23"/>
        <v>33.415591659999997</v>
      </c>
      <c r="L88" s="117">
        <f t="shared" si="23"/>
        <v>34.418059409799994</v>
      </c>
      <c r="M88" s="117">
        <f t="shared" si="23"/>
        <v>35.450601192093991</v>
      </c>
      <c r="N88" s="117">
        <f t="shared" si="23"/>
        <v>36.514119227856817</v>
      </c>
      <c r="O88" s="117">
        <f t="shared" si="23"/>
        <v>37.609542804692524</v>
      </c>
      <c r="P88" s="117">
        <f t="shared" si="23"/>
        <v>38.737829088833294</v>
      </c>
      <c r="Q88" s="117">
        <f t="shared" si="23"/>
        <v>39.899963961498294</v>
      </c>
      <c r="R88" s="117">
        <f t="shared" si="23"/>
        <v>41.096962880343249</v>
      </c>
      <c r="S88" s="117">
        <f t="shared" si="23"/>
        <v>42.329871766753541</v>
      </c>
      <c r="T88" s="117">
        <f t="shared" si="23"/>
        <v>43.59976791975614</v>
      </c>
      <c r="U88" s="117">
        <f t="shared" si="23"/>
        <v>44.90776095734882</v>
      </c>
      <c r="V88" s="117">
        <f t="shared" si="23"/>
        <v>46.254993786069292</v>
      </c>
      <c r="W88" s="117">
        <f t="shared" si="23"/>
        <v>47.642643599651372</v>
      </c>
      <c r="X88" s="117">
        <f t="shared" si="23"/>
        <v>49.071922907640911</v>
      </c>
      <c r="Y88" s="117">
        <f t="shared" si="23"/>
        <v>50.544080594870131</v>
      </c>
      <c r="Z88" s="117">
        <f t="shared" si="23"/>
        <v>52.060403012716236</v>
      </c>
      <c r="AA88" s="117">
        <f t="shared" si="23"/>
        <v>53.622215103097723</v>
      </c>
      <c r="AB88" s="117">
        <f t="shared" si="23"/>
        <v>55.230881556190653</v>
      </c>
      <c r="AC88" s="117">
        <f t="shared" si="23"/>
        <v>56.887808002876369</v>
      </c>
      <c r="AD88" s="117">
        <f t="shared" si="23"/>
        <v>58.594442242962664</v>
      </c>
      <c r="AE88" s="117">
        <f t="shared" si="23"/>
        <v>60.352275510251552</v>
      </c>
      <c r="AF88" s="117">
        <f t="shared" si="23"/>
        <v>62.162843775559082</v>
      </c>
      <c r="AG88" s="117">
        <f t="shared" si="23"/>
        <v>64.027729088825851</v>
      </c>
      <c r="AH88" s="117">
        <f t="shared" si="23"/>
        <v>65.948560961490642</v>
      </c>
      <c r="AI88" s="117">
        <f t="shared" si="23"/>
        <v>67.927017790335356</v>
      </c>
      <c r="AJ88" s="117">
        <f t="shared" si="23"/>
        <v>69.964828324045413</v>
      </c>
      <c r="AK88" s="117">
        <f t="shared" si="23"/>
        <v>72.063773173766762</v>
      </c>
    </row>
    <row r="89" spans="1:37">
      <c r="B89" s="111" t="s">
        <v>587</v>
      </c>
      <c r="H89" s="130">
        <f>$G$23</f>
        <v>0.06</v>
      </c>
      <c r="I89" s="130">
        <f t="shared" ref="I89:AK89" si="24">$G$23</f>
        <v>0.06</v>
      </c>
      <c r="J89" s="130">
        <f t="shared" si="24"/>
        <v>0.06</v>
      </c>
      <c r="K89" s="130">
        <f t="shared" si="24"/>
        <v>0.06</v>
      </c>
      <c r="L89" s="130">
        <f t="shared" si="24"/>
        <v>0.06</v>
      </c>
      <c r="M89" s="130">
        <f t="shared" si="24"/>
        <v>0.06</v>
      </c>
      <c r="N89" s="130">
        <f t="shared" si="24"/>
        <v>0.06</v>
      </c>
      <c r="O89" s="130">
        <f t="shared" si="24"/>
        <v>0.06</v>
      </c>
      <c r="P89" s="130">
        <f t="shared" si="24"/>
        <v>0.06</v>
      </c>
      <c r="Q89" s="130">
        <f t="shared" si="24"/>
        <v>0.06</v>
      </c>
      <c r="R89" s="130">
        <f t="shared" si="24"/>
        <v>0.06</v>
      </c>
      <c r="S89" s="130">
        <f t="shared" si="24"/>
        <v>0.06</v>
      </c>
      <c r="T89" s="130">
        <f t="shared" si="24"/>
        <v>0.06</v>
      </c>
      <c r="U89" s="130">
        <f t="shared" si="24"/>
        <v>0.06</v>
      </c>
      <c r="V89" s="130">
        <f t="shared" si="24"/>
        <v>0.06</v>
      </c>
      <c r="W89" s="130">
        <f t="shared" si="24"/>
        <v>0.06</v>
      </c>
      <c r="X89" s="130">
        <f t="shared" si="24"/>
        <v>0.06</v>
      </c>
      <c r="Y89" s="130">
        <f t="shared" si="24"/>
        <v>0.06</v>
      </c>
      <c r="Z89" s="130">
        <f t="shared" si="24"/>
        <v>0.06</v>
      </c>
      <c r="AA89" s="130">
        <f t="shared" si="24"/>
        <v>0.06</v>
      </c>
      <c r="AB89" s="130">
        <f t="shared" si="24"/>
        <v>0.06</v>
      </c>
      <c r="AC89" s="130">
        <f t="shared" si="24"/>
        <v>0.06</v>
      </c>
      <c r="AD89" s="130">
        <f t="shared" si="24"/>
        <v>0.06</v>
      </c>
      <c r="AE89" s="130">
        <f t="shared" si="24"/>
        <v>0.06</v>
      </c>
      <c r="AF89" s="130">
        <f t="shared" si="24"/>
        <v>0.06</v>
      </c>
      <c r="AG89" s="130">
        <f t="shared" si="24"/>
        <v>0.06</v>
      </c>
      <c r="AH89" s="130">
        <f t="shared" si="24"/>
        <v>0.06</v>
      </c>
      <c r="AI89" s="130">
        <f t="shared" si="24"/>
        <v>0.06</v>
      </c>
      <c r="AJ89" s="130">
        <f t="shared" si="24"/>
        <v>0.06</v>
      </c>
      <c r="AK89" s="130">
        <f t="shared" si="24"/>
        <v>0.06</v>
      </c>
    </row>
    <row r="90" spans="1:37">
      <c r="B90" s="111" t="s">
        <v>556</v>
      </c>
      <c r="H90" s="117">
        <f>H88*H89</f>
        <v>1.8347999999999998</v>
      </c>
      <c r="I90" s="117">
        <f t="shared" ref="I90:AK90" si="25">I88*I89</f>
        <v>1.8898439999999999</v>
      </c>
      <c r="J90" s="117">
        <f t="shared" si="25"/>
        <v>1.9465393199999999</v>
      </c>
      <c r="K90" s="117">
        <f t="shared" si="25"/>
        <v>2.0049354995999997</v>
      </c>
      <c r="L90" s="117">
        <f t="shared" si="25"/>
        <v>2.0650835645879995</v>
      </c>
      <c r="M90" s="117">
        <f t="shared" si="25"/>
        <v>2.1270360715256396</v>
      </c>
      <c r="N90" s="117">
        <f t="shared" si="25"/>
        <v>2.1908471536714091</v>
      </c>
      <c r="O90" s="117">
        <f t="shared" si="25"/>
        <v>2.2565725682815514</v>
      </c>
      <c r="P90" s="117">
        <f t="shared" si="25"/>
        <v>2.3242697453299974</v>
      </c>
      <c r="Q90" s="117">
        <f t="shared" si="25"/>
        <v>2.3939978376898976</v>
      </c>
      <c r="R90" s="117">
        <f t="shared" si="25"/>
        <v>2.465817772820595</v>
      </c>
      <c r="S90" s="117">
        <f t="shared" si="25"/>
        <v>2.5397923060052126</v>
      </c>
      <c r="T90" s="117">
        <f t="shared" si="25"/>
        <v>2.6159860751853681</v>
      </c>
      <c r="U90" s="117">
        <f t="shared" si="25"/>
        <v>2.6944656574409289</v>
      </c>
      <c r="V90" s="117">
        <f t="shared" si="25"/>
        <v>2.7752996271641575</v>
      </c>
      <c r="W90" s="117">
        <f t="shared" si="25"/>
        <v>2.8585586159790823</v>
      </c>
      <c r="X90" s="117">
        <f t="shared" si="25"/>
        <v>2.9443153744584545</v>
      </c>
      <c r="Y90" s="117">
        <f t="shared" si="25"/>
        <v>3.0326448356922078</v>
      </c>
      <c r="Z90" s="117">
        <f t="shared" si="25"/>
        <v>3.1236241807629739</v>
      </c>
      <c r="AA90" s="117">
        <f t="shared" si="25"/>
        <v>3.2173329061858631</v>
      </c>
      <c r="AB90" s="117">
        <f t="shared" si="25"/>
        <v>3.3138528933714388</v>
      </c>
      <c r="AC90" s="117">
        <f t="shared" si="25"/>
        <v>3.4132684801725821</v>
      </c>
      <c r="AD90" s="117">
        <f t="shared" si="25"/>
        <v>3.5156665345777598</v>
      </c>
      <c r="AE90" s="117">
        <f t="shared" si="25"/>
        <v>3.6211365306150931</v>
      </c>
      <c r="AF90" s="117">
        <f t="shared" si="25"/>
        <v>3.7297706265335449</v>
      </c>
      <c r="AG90" s="117">
        <f t="shared" si="25"/>
        <v>3.841663745329551</v>
      </c>
      <c r="AH90" s="117">
        <f t="shared" si="25"/>
        <v>3.9569136576894386</v>
      </c>
      <c r="AI90" s="117">
        <f t="shared" si="25"/>
        <v>4.075621067420121</v>
      </c>
      <c r="AJ90" s="117">
        <f t="shared" si="25"/>
        <v>4.1978896994427251</v>
      </c>
      <c r="AK90" s="117">
        <f t="shared" si="25"/>
        <v>4.3238263904260057</v>
      </c>
    </row>
    <row r="92" spans="1:37">
      <c r="A92" s="111" t="s">
        <v>472</v>
      </c>
      <c r="B92" s="265" t="s">
        <v>588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6"/>
      <c r="Q92" s="265"/>
      <c r="R92" s="265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</row>
    <row r="93" spans="1:37">
      <c r="F93" s="698" t="s">
        <v>589</v>
      </c>
      <c r="G93" s="698"/>
      <c r="H93" s="698"/>
      <c r="I93" s="698"/>
      <c r="J93" s="698"/>
    </row>
    <row r="94" spans="1:37">
      <c r="E94" s="143">
        <f ca="1">G82</f>
        <v>0.1884260989685147</v>
      </c>
      <c r="F94" s="175">
        <v>3</v>
      </c>
      <c r="G94" s="175">
        <v>4</v>
      </c>
      <c r="H94" s="175">
        <v>5</v>
      </c>
      <c r="I94" s="175">
        <v>6</v>
      </c>
      <c r="J94" s="175">
        <v>7</v>
      </c>
    </row>
    <row r="95" spans="1:37">
      <c r="C95" s="699" t="s">
        <v>390</v>
      </c>
      <c r="D95" s="699"/>
      <c r="E95" s="144">
        <v>0.05</v>
      </c>
      <c r="F95" s="145">
        <f t="dataTable" ref="F95:J99" dt2D="1" dtr="1" r1="G27" r2="G25" ca="1"/>
        <v>0.44075243420090104</v>
      </c>
      <c r="G95" s="146">
        <v>0.35046296977185865</v>
      </c>
      <c r="H95" s="146">
        <v>0.29984820499184894</v>
      </c>
      <c r="I95" s="146">
        <v>0.26741757296916813</v>
      </c>
      <c r="J95" s="147">
        <v>0.24482418839044895</v>
      </c>
    </row>
    <row r="96" spans="1:37">
      <c r="C96" s="699"/>
      <c r="D96" s="699"/>
      <c r="E96" s="144">
        <v>5.2499999999999998E-2</v>
      </c>
      <c r="F96" s="148">
        <v>0.40157256350499937</v>
      </c>
      <c r="G96" s="145">
        <v>0.3247463360358851</v>
      </c>
      <c r="H96" s="146">
        <v>0.28127821828993071</v>
      </c>
      <c r="I96" s="147">
        <v>0.25322482081523368</v>
      </c>
      <c r="J96" s="149">
        <v>0.23356065906623824</v>
      </c>
    </row>
    <row r="97" spans="3:11">
      <c r="C97" s="699"/>
      <c r="D97" s="699"/>
      <c r="E97" s="144">
        <v>5.5E-2</v>
      </c>
      <c r="F97" s="148">
        <v>0.36401302072284625</v>
      </c>
      <c r="G97" s="148">
        <v>0.30000438269324881</v>
      </c>
      <c r="H97" s="150">
        <v>0.26339823734226497</v>
      </c>
      <c r="I97" s="149">
        <v>0.23956637309012563</v>
      </c>
      <c r="J97" s="149">
        <v>0.222733578111727</v>
      </c>
      <c r="K97" s="128"/>
    </row>
    <row r="98" spans="3:11">
      <c r="C98" s="699"/>
      <c r="D98" s="699"/>
      <c r="E98" s="144">
        <v>5.7500000000000002E-2</v>
      </c>
      <c r="F98" s="148">
        <v>0.32787620863215028</v>
      </c>
      <c r="G98" s="151">
        <v>0.27612015351071317</v>
      </c>
      <c r="H98" s="152">
        <v>0.24612849110246171</v>
      </c>
      <c r="I98" s="153">
        <v>0.22638309093012232</v>
      </c>
      <c r="J98" s="149">
        <v>0.21229660030202191</v>
      </c>
    </row>
    <row r="99" spans="3:11">
      <c r="C99" s="699"/>
      <c r="D99" s="699"/>
      <c r="E99" s="144">
        <v>0.06</v>
      </c>
      <c r="F99" s="151">
        <v>0.29298915911616819</v>
      </c>
      <c r="G99" s="152">
        <v>0.25299097390025449</v>
      </c>
      <c r="H99" s="152">
        <v>0.22939903314320609</v>
      </c>
      <c r="I99" s="152">
        <v>0.21362324170437375</v>
      </c>
      <c r="J99" s="153">
        <v>0.20220927912539022</v>
      </c>
    </row>
  </sheetData>
  <mergeCells count="2">
    <mergeCell ref="F93:J93"/>
    <mergeCell ref="C95:D99"/>
  </mergeCells>
  <conditionalFormatting sqref="F95:J9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scale="48" orientation="portrait" r:id="rId1"/>
  <headerFooter>
    <oddHeader xml:space="preserve">&amp;L2019 ULI Hines Student Competition&amp;R2019-331 &amp;A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FF529-6F58-4475-AA8B-B818A2D745E6}">
  <sheetPr>
    <tabColor theme="1"/>
    <pageSetUpPr fitToPage="1"/>
  </sheetPr>
  <dimension ref="A1:T54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23.33203125" customWidth="1"/>
    <col min="3" max="3" width="16.109375" style="4" customWidth="1"/>
    <col min="4" max="4" width="9.88671875" customWidth="1"/>
    <col min="5" max="5" width="10.44140625" bestFit="1" customWidth="1"/>
    <col min="6" max="6" width="3.88671875" customWidth="1"/>
    <col min="7" max="7" width="20.77734375" style="4" bestFit="1" customWidth="1"/>
    <col min="8" max="8" width="19.33203125" style="4" customWidth="1"/>
    <col min="9" max="10" width="12.77734375" bestFit="1" customWidth="1"/>
    <col min="11" max="11" width="4.33203125" customWidth="1"/>
    <col min="12" max="12" width="20" style="4" customWidth="1"/>
    <col min="13" max="13" width="12.77734375" bestFit="1" customWidth="1"/>
    <col min="14" max="14" width="16.5546875" bestFit="1" customWidth="1"/>
    <col min="16" max="16" width="3.5546875" customWidth="1"/>
    <col min="19" max="19" width="20.77734375" bestFit="1" customWidth="1"/>
    <col min="20" max="20" width="12.77734375" style="4" bestFit="1" customWidth="1"/>
  </cols>
  <sheetData>
    <row r="1" spans="1:20">
      <c r="A1" s="1"/>
    </row>
    <row r="2" spans="1:20">
      <c r="A2" s="1"/>
    </row>
    <row r="3" spans="1:20">
      <c r="A3" s="1"/>
    </row>
    <row r="4" spans="1:20">
      <c r="A4" s="1"/>
    </row>
    <row r="5" spans="1:20">
      <c r="A5" s="1"/>
    </row>
    <row r="6" spans="1:20">
      <c r="A6" s="1"/>
    </row>
    <row r="7" spans="1:20">
      <c r="A7" s="1"/>
    </row>
    <row r="8" spans="1:20">
      <c r="A8" s="1"/>
      <c r="B8" s="445" t="s">
        <v>762</v>
      </c>
    </row>
    <row r="9" spans="1:20">
      <c r="A9" s="1"/>
    </row>
    <row r="10" spans="1:20" ht="17.399999999999999">
      <c r="B10" s="465" t="s">
        <v>779</v>
      </c>
      <c r="C10" s="466"/>
      <c r="D10" s="467"/>
      <c r="E10" s="467"/>
      <c r="F10" s="467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</row>
    <row r="11" spans="1:20">
      <c r="B11" s="1"/>
    </row>
    <row r="12" spans="1:20" ht="14.4">
      <c r="B12" s="11" t="s">
        <v>768</v>
      </c>
      <c r="C12" s="12"/>
      <c r="D12" s="39"/>
      <c r="E12" s="39" t="s">
        <v>442</v>
      </c>
      <c r="G12" s="477" t="s">
        <v>778</v>
      </c>
      <c r="H12" s="485"/>
      <c r="I12" s="480" t="s">
        <v>450</v>
      </c>
      <c r="J12" s="480" t="s">
        <v>442</v>
      </c>
      <c r="L12" s="477" t="s">
        <v>792</v>
      </c>
      <c r="M12" s="485"/>
      <c r="N12" s="480"/>
      <c r="O12" s="480" t="s">
        <v>807</v>
      </c>
      <c r="Q12" s="477" t="s">
        <v>797</v>
      </c>
      <c r="R12" s="485"/>
      <c r="S12" s="480"/>
      <c r="T12" s="480"/>
    </row>
    <row r="13" spans="1:20" ht="14.4">
      <c r="B13" t="s">
        <v>399</v>
      </c>
      <c r="D13" s="50"/>
      <c r="E13" s="50">
        <f>SUM(Parcels!N96,Parcels!N97)</f>
        <v>739539.4</v>
      </c>
      <c r="G13" s="482" t="s">
        <v>440</v>
      </c>
      <c r="H13" s="486"/>
      <c r="I13" s="486">
        <f ca="1">J13/$J$18</f>
        <v>0.3880023334744917</v>
      </c>
      <c r="J13" s="483">
        <f ca="1">'Area Matrix'!D11</f>
        <v>1162914.1569307693</v>
      </c>
      <c r="L13" s="482" t="s">
        <v>440</v>
      </c>
      <c r="M13" s="486"/>
      <c r="N13" s="483"/>
      <c r="O13" s="483">
        <f ca="1">SUM(O21,O29)</f>
        <v>987</v>
      </c>
      <c r="Q13" s="1" t="s">
        <v>800</v>
      </c>
      <c r="T13" s="261">
        <f>'Phase I - CF MF Market Rental'!M13</f>
        <v>1400</v>
      </c>
    </row>
    <row r="14" spans="1:20">
      <c r="B14" t="s">
        <v>400</v>
      </c>
      <c r="D14" s="61"/>
      <c r="E14" s="61" t="s">
        <v>789</v>
      </c>
      <c r="G14" s="104" t="s">
        <v>653</v>
      </c>
      <c r="H14" s="381"/>
      <c r="I14" s="381">
        <f ca="1">J14/$J$18</f>
        <v>0.11640070004234748</v>
      </c>
      <c r="J14" s="481">
        <f ca="1">'Area Matrix'!D12</f>
        <v>348874.24707923073</v>
      </c>
      <c r="L14" s="104" t="s">
        <v>653</v>
      </c>
      <c r="M14" s="381"/>
      <c r="N14" s="608">
        <f ca="1">O14/O13</f>
        <v>0.2978723404255319</v>
      </c>
      <c r="O14" s="481">
        <f ca="1">SUM(O22,O30)</f>
        <v>294</v>
      </c>
      <c r="Q14" s="1" t="s">
        <v>801</v>
      </c>
      <c r="T14" s="261">
        <f>'Phase I - CF MF Market Rental'!M14</f>
        <v>1500</v>
      </c>
    </row>
    <row r="15" spans="1:20">
      <c r="B15" s="1" t="s">
        <v>781</v>
      </c>
      <c r="D15" s="484"/>
      <c r="E15" s="484">
        <f ca="1">E16/E13</f>
        <v>4.0527704271054628</v>
      </c>
      <c r="G15" s="104" t="s">
        <v>439</v>
      </c>
      <c r="H15" s="381"/>
      <c r="I15" s="381">
        <f ca="1">J15/$J$18</f>
        <v>0.34141254171347163</v>
      </c>
      <c r="J15" s="481">
        <f ca="1">'Area Matrix'!D13</f>
        <v>1023276.0059893172</v>
      </c>
      <c r="L15" s="104" t="s">
        <v>25</v>
      </c>
      <c r="M15" s="381"/>
      <c r="N15" s="481"/>
      <c r="O15" s="481">
        <f>SUM(O23,O31)</f>
        <v>118.7256</v>
      </c>
      <c r="Q15" s="1" t="s">
        <v>802</v>
      </c>
      <c r="T15" s="261">
        <f>'Phase I - CF MF Market Rental'!M15</f>
        <v>1700</v>
      </c>
    </row>
    <row r="16" spans="1:20">
      <c r="B16" t="s">
        <v>787</v>
      </c>
      <c r="D16" s="33"/>
      <c r="E16" s="33">
        <f ca="1">'Area Matrix'!D16</f>
        <v>2997183.4099993175</v>
      </c>
      <c r="G16" s="104" t="s">
        <v>25</v>
      </c>
      <c r="H16" s="381"/>
      <c r="I16" s="381">
        <f ca="1">J16/$J$18</f>
        <v>0.10123204305340429</v>
      </c>
      <c r="J16" s="481">
        <f>'Area Matrix'!D14</f>
        <v>303411</v>
      </c>
      <c r="L16" s="104" t="s">
        <v>26</v>
      </c>
      <c r="M16" s="381"/>
      <c r="N16" s="481"/>
      <c r="O16" s="481">
        <f>SUM(O24,O32)</f>
        <v>315</v>
      </c>
      <c r="Q16" s="1" t="s">
        <v>803</v>
      </c>
      <c r="T16" s="261">
        <f>'Phase I - CF Affordable Rental'!M13</f>
        <v>600</v>
      </c>
    </row>
    <row r="17" spans="2:20">
      <c r="G17" s="104" t="s">
        <v>26</v>
      </c>
      <c r="H17" s="381"/>
      <c r="I17" s="381">
        <f ca="1">J17/$J$18</f>
        <v>5.2952381716284795E-2</v>
      </c>
      <c r="J17" s="481">
        <f>'Area Matrix'!D15</f>
        <v>158707.99999999997</v>
      </c>
      <c r="L17" s="552" t="s">
        <v>790</v>
      </c>
      <c r="M17" s="381"/>
      <c r="N17" s="481"/>
      <c r="O17" s="481">
        <f ca="1">SUM(O25,O33)</f>
        <v>854</v>
      </c>
      <c r="Q17" s="1" t="s">
        <v>804</v>
      </c>
      <c r="T17" s="261">
        <f>'Phase I - CF Affordable Rental'!M14</f>
        <v>850</v>
      </c>
    </row>
    <row r="18" spans="2:20">
      <c r="G18" s="482" t="s">
        <v>16</v>
      </c>
      <c r="H18" s="486"/>
      <c r="I18" s="486">
        <f ca="1">SUM(I13:I17)</f>
        <v>1</v>
      </c>
      <c r="J18" s="551">
        <f ca="1">SUM(J13:J17)</f>
        <v>2997183.4099993175</v>
      </c>
      <c r="L18" s="482"/>
      <c r="M18" s="486"/>
      <c r="N18" s="551"/>
      <c r="O18" s="551"/>
      <c r="Q18" s="104" t="str">
        <f>'Phase I - CF MF Market Rental'!B14</f>
        <v>Efficiency</v>
      </c>
      <c r="R18" s="381"/>
      <c r="S18" s="481"/>
      <c r="T18" s="379">
        <f>'Phase I - CF MF Market Rental'!G14</f>
        <v>0.85</v>
      </c>
    </row>
    <row r="19" spans="2:20">
      <c r="G19" s="103"/>
      <c r="H19" s="381"/>
      <c r="I19" s="479"/>
      <c r="J19" s="479"/>
      <c r="L19"/>
      <c r="N19" s="4"/>
      <c r="O19" s="4"/>
      <c r="Q19" s="104" t="str">
        <f>'Phase I - CF MF Market Rental'!B16</f>
        <v>Average Unit Size</v>
      </c>
      <c r="R19" s="381"/>
      <c r="S19" s="481"/>
      <c r="T19" s="602">
        <f>'Phase I - CF MF Market Rental'!G16</f>
        <v>1000</v>
      </c>
    </row>
    <row r="20" spans="2:20" ht="14.4">
      <c r="B20" s="11" t="s">
        <v>777</v>
      </c>
      <c r="C20" s="12"/>
      <c r="D20" s="12"/>
      <c r="E20" s="12"/>
      <c r="G20" s="11" t="s">
        <v>780</v>
      </c>
      <c r="H20" s="52"/>
      <c r="I20" s="52"/>
      <c r="J20" s="52"/>
      <c r="L20" s="559" t="s">
        <v>791</v>
      </c>
      <c r="M20" s="554"/>
      <c r="N20" s="554"/>
      <c r="O20" s="554" t="s">
        <v>807</v>
      </c>
      <c r="Q20" s="104" t="str">
        <f>'Phase I - CF MF Market Rental'!B17</f>
        <v>% Studio</v>
      </c>
      <c r="R20" s="381"/>
      <c r="S20" s="481"/>
      <c r="T20" s="379">
        <f>'Phase I - CF MF Market Rental'!G17</f>
        <v>0.2</v>
      </c>
    </row>
    <row r="21" spans="2:20" ht="14.4">
      <c r="B21" s="1" t="s">
        <v>392</v>
      </c>
      <c r="D21" s="192"/>
      <c r="E21" s="192">
        <v>2020</v>
      </c>
      <c r="G21" s="487" t="s">
        <v>782</v>
      </c>
      <c r="I21" s="261"/>
      <c r="J21" s="261">
        <f ca="1">'Development Summary'!C44</f>
        <v>825750939.44756174</v>
      </c>
      <c r="L21" s="482" t="s">
        <v>440</v>
      </c>
      <c r="M21" s="486"/>
      <c r="N21" s="483"/>
      <c r="O21" s="483">
        <f ca="1">SUM('Official Summary Board'!G68:I68)</f>
        <v>411</v>
      </c>
      <c r="Q21" s="104" t="str">
        <f>'Phase I - CF MF Market Rental'!B18</f>
        <v>% 1BR</v>
      </c>
      <c r="R21" s="381"/>
      <c r="S21" s="481"/>
      <c r="T21" s="379">
        <f>'Phase I - CF MF Market Rental'!G18</f>
        <v>0.5</v>
      </c>
    </row>
    <row r="22" spans="2:20" ht="14.4">
      <c r="B22" s="494" t="s">
        <v>20</v>
      </c>
      <c r="G22" s="487" t="s">
        <v>783</v>
      </c>
      <c r="I22" s="261"/>
      <c r="J22" s="261">
        <f ca="1">SUM('Phase I - Pro Forma'!D46,'Phase II - Pro Forma'!D46)</f>
        <v>897923908.84777784</v>
      </c>
      <c r="L22" s="104" t="s">
        <v>653</v>
      </c>
      <c r="M22" s="381"/>
      <c r="N22" s="481"/>
      <c r="O22" s="481">
        <f ca="1">SUM('Official Summary Board'!G69:I69)</f>
        <v>123</v>
      </c>
      <c r="Q22" s="104" t="str">
        <f>'Phase I - CF MF Market Rental'!B19</f>
        <v>% 2BR</v>
      </c>
      <c r="R22" s="381"/>
      <c r="S22" s="481"/>
      <c r="T22" s="379">
        <f>'Phase I - CF MF Market Rental'!G19</f>
        <v>0.3</v>
      </c>
    </row>
    <row r="23" spans="2:20" ht="14.4">
      <c r="B23" s="1" t="s">
        <v>769</v>
      </c>
      <c r="C23"/>
      <c r="D23" s="192"/>
      <c r="E23" s="192">
        <v>2022</v>
      </c>
      <c r="G23" s="488" t="s">
        <v>785</v>
      </c>
      <c r="I23" s="261"/>
      <c r="J23" s="261">
        <f ca="1">SUM('Phase I - Pro Forma'!L40,'Phase II - Pro Forma'!O40)</f>
        <v>57640151.422381043</v>
      </c>
      <c r="L23" s="104" t="s">
        <v>25</v>
      </c>
      <c r="M23" s="381"/>
      <c r="N23" s="481"/>
      <c r="O23" s="481">
        <f>SUM('Official Summary Board'!G71:I71)</f>
        <v>37.7256</v>
      </c>
      <c r="Q23" s="1" t="s">
        <v>487</v>
      </c>
      <c r="T23" s="603">
        <f>'Phase I - CF MF Market Rental'!M16</f>
        <v>0.05</v>
      </c>
    </row>
    <row r="24" spans="2:20" ht="14.4">
      <c r="B24" s="1" t="s">
        <v>770</v>
      </c>
      <c r="C24"/>
      <c r="D24" s="41"/>
      <c r="E24" s="41">
        <v>3</v>
      </c>
      <c r="G24"/>
      <c r="I24" s="4"/>
      <c r="J24" s="4"/>
      <c r="L24" s="104" t="s">
        <v>26</v>
      </c>
      <c r="M24" s="381"/>
      <c r="N24" s="481"/>
      <c r="O24" s="481">
        <f>SUM('Official Summary Board'!G70:I70)</f>
        <v>0</v>
      </c>
      <c r="Q24" s="1" t="s">
        <v>489</v>
      </c>
      <c r="T24" s="603">
        <f>'Phase I - CF MF Market Rental'!M17</f>
        <v>0.03</v>
      </c>
    </row>
    <row r="25" spans="2:20">
      <c r="B25" t="s">
        <v>771</v>
      </c>
      <c r="C25"/>
      <c r="D25" s="191"/>
      <c r="E25" s="191">
        <f>SUM(E23:E24)</f>
        <v>2025</v>
      </c>
      <c r="G25" s="209" t="s">
        <v>784</v>
      </c>
      <c r="I25" s="491"/>
      <c r="J25" s="491">
        <f ca="1">'Official Summary Board'!E62</f>
        <v>0.22644975449132687</v>
      </c>
      <c r="L25" s="552" t="s">
        <v>790</v>
      </c>
      <c r="M25" s="381"/>
      <c r="N25" s="481"/>
      <c r="O25" s="481">
        <f ca="1">SUM('Official Summary Board'!G72:I72)</f>
        <v>356</v>
      </c>
      <c r="Q25" s="1" t="s">
        <v>523</v>
      </c>
      <c r="T25" s="603">
        <f>'Phase I - CF MF Market Rental'!M23</f>
        <v>0.02</v>
      </c>
    </row>
    <row r="26" spans="2:20" s="178" customFormat="1" ht="14.4">
      <c r="B26" s="1" t="s">
        <v>772</v>
      </c>
      <c r="C26"/>
      <c r="D26" s="41"/>
      <c r="E26" s="41">
        <v>1</v>
      </c>
      <c r="G26" s="209" t="s">
        <v>788</v>
      </c>
      <c r="H26" s="4"/>
      <c r="I26" s="491"/>
      <c r="J26" s="491">
        <f ca="1">'Official Summary Board'!E61</f>
        <v>0.12129729951304302</v>
      </c>
      <c r="L26" s="482"/>
      <c r="M26" s="486"/>
      <c r="N26" s="551"/>
      <c r="O26" s="551"/>
      <c r="Q26" s="1" t="s">
        <v>497</v>
      </c>
      <c r="R26"/>
      <c r="S26"/>
      <c r="T26" s="603">
        <f>'Phase I - CF Affordable Rental'!M20</f>
        <v>0.02</v>
      </c>
    </row>
    <row r="27" spans="2:20">
      <c r="B27" t="s">
        <v>404</v>
      </c>
      <c r="C27"/>
      <c r="D27" s="191"/>
      <c r="E27" s="191">
        <f>SUM(E25:E26)</f>
        <v>2026</v>
      </c>
      <c r="G27" s="178"/>
      <c r="H27" s="178"/>
      <c r="I27" s="215"/>
    </row>
    <row r="28" spans="2:20" ht="14.4">
      <c r="B28" s="493" t="s">
        <v>445</v>
      </c>
      <c r="C28" s="178"/>
      <c r="D28" s="41"/>
      <c r="E28" s="41"/>
      <c r="G28" s="178" t="s">
        <v>795</v>
      </c>
      <c r="I28" s="4"/>
      <c r="J28" s="491">
        <f>'Phase I - Summary'!D29</f>
        <v>5.6000000000000001E-2</v>
      </c>
      <c r="L28" s="557" t="s">
        <v>793</v>
      </c>
      <c r="M28" s="558"/>
      <c r="N28" s="558"/>
      <c r="O28" s="558" t="s">
        <v>807</v>
      </c>
      <c r="Q28" s="477" t="s">
        <v>799</v>
      </c>
      <c r="R28" s="485"/>
      <c r="S28" s="480"/>
      <c r="T28" s="480"/>
    </row>
    <row r="29" spans="2:20">
      <c r="B29" s="1" t="s">
        <v>773</v>
      </c>
      <c r="C29"/>
      <c r="D29" s="191"/>
      <c r="E29" s="191">
        <f>'Phase II - Summary'!D21</f>
        <v>2025</v>
      </c>
      <c r="G29" s="178" t="s">
        <v>796</v>
      </c>
      <c r="I29" s="4"/>
      <c r="J29" s="491">
        <f>'Phase II - Summary'!D28</f>
        <v>4.4999999999999998E-2</v>
      </c>
      <c r="L29" s="482" t="s">
        <v>440</v>
      </c>
      <c r="M29" s="486"/>
      <c r="N29" s="483"/>
      <c r="O29" s="483">
        <f>SUM('Official Summary Board'!J68:L68)</f>
        <v>576</v>
      </c>
      <c r="Q29" s="601" t="str">
        <f>'Phase I - CF Commercial'!B16</f>
        <v>Base Rent</v>
      </c>
      <c r="R29" s="486"/>
      <c r="S29" s="483"/>
      <c r="T29" s="605">
        <f>'Phase I - CF Commercial'!G16</f>
        <v>40.630000000000003</v>
      </c>
    </row>
    <row r="30" spans="2:20">
      <c r="B30" s="1" t="s">
        <v>774</v>
      </c>
      <c r="C30"/>
      <c r="D30" s="191"/>
      <c r="E30" s="191">
        <f>'Phase II - Summary'!D22</f>
        <v>3</v>
      </c>
      <c r="G30"/>
      <c r="I30" s="4"/>
      <c r="L30" s="104" t="s">
        <v>653</v>
      </c>
      <c r="M30" s="381"/>
      <c r="N30" s="608">
        <f>O30/O29</f>
        <v>0.296875</v>
      </c>
      <c r="O30" s="481">
        <f>SUM('Official Summary Board'!J69:L69)</f>
        <v>171</v>
      </c>
      <c r="Q30" s="104" t="str">
        <f>'Phase I - CF Commercial'!B17</f>
        <v>Rent Growth</v>
      </c>
      <c r="R30" s="381"/>
      <c r="S30" s="481"/>
      <c r="T30" s="379">
        <f>'Phase I - CF Commercial'!G17</f>
        <v>0.03</v>
      </c>
    </row>
    <row r="31" spans="2:20">
      <c r="B31" t="s">
        <v>775</v>
      </c>
      <c r="C31"/>
      <c r="D31" s="191"/>
      <c r="E31" s="191">
        <f>SUM(E29:E30)</f>
        <v>2028</v>
      </c>
      <c r="G31" s="607" t="s">
        <v>808</v>
      </c>
      <c r="I31" s="4"/>
      <c r="L31" s="104" t="s">
        <v>25</v>
      </c>
      <c r="M31" s="381"/>
      <c r="N31" s="481"/>
      <c r="O31" s="481">
        <f>SUM('Official Summary Board'!J71:L71)</f>
        <v>81</v>
      </c>
      <c r="Q31" s="104" t="str">
        <f>'Phase I - CF Commercial'!B18</f>
        <v>Expense Growth</v>
      </c>
      <c r="R31" s="381"/>
      <c r="S31" s="481"/>
      <c r="T31" s="379">
        <f>'Phase I - CF Commercial'!G18</f>
        <v>0.02</v>
      </c>
    </row>
    <row r="32" spans="2:20">
      <c r="B32" s="1" t="s">
        <v>776</v>
      </c>
      <c r="E32">
        <f>E26</f>
        <v>1</v>
      </c>
      <c r="G32" s="1" t="s">
        <v>809</v>
      </c>
      <c r="I32" s="4"/>
      <c r="J32" s="491">
        <f>'Phase I - Summary'!I34</f>
        <v>5.5000000000000007E-2</v>
      </c>
      <c r="L32" s="104" t="s">
        <v>26</v>
      </c>
      <c r="M32" s="381"/>
      <c r="N32" s="481"/>
      <c r="O32" s="481">
        <f>SUM('Official Summary Board'!J70:L70)</f>
        <v>315</v>
      </c>
      <c r="Q32" s="104" t="str">
        <f>'Phase I - CF Commercial'!B19</f>
        <v>Vacancy Y1</v>
      </c>
      <c r="R32" s="381"/>
      <c r="S32" s="481"/>
      <c r="T32" s="379">
        <f>'Phase I - CF Commercial'!G19</f>
        <v>0.1</v>
      </c>
    </row>
    <row r="33" spans="2:20">
      <c r="B33" t="s">
        <v>404</v>
      </c>
      <c r="C33"/>
      <c r="D33" s="191"/>
      <c r="E33" s="191">
        <f>SUM(E31:E32)</f>
        <v>2029</v>
      </c>
      <c r="G33" s="1" t="str">
        <f>'Phase I - Summary'!F35</f>
        <v>LTC</v>
      </c>
      <c r="J33" s="491">
        <f>'Phase I - Summary'!I35</f>
        <v>0.65</v>
      </c>
      <c r="K33" s="100"/>
      <c r="L33" s="552" t="s">
        <v>790</v>
      </c>
      <c r="M33" s="381"/>
      <c r="N33" s="481"/>
      <c r="O33" s="481">
        <f>SUM('Official Summary Board'!J72:L72)</f>
        <v>498</v>
      </c>
      <c r="Q33" s="104" t="str">
        <f>'Phase I - CF Commercial'!B20</f>
        <v>TI</v>
      </c>
      <c r="R33" s="381"/>
      <c r="S33" s="481"/>
      <c r="T33" s="396">
        <f>'Phase I - CF Commercial'!G20</f>
        <v>50</v>
      </c>
    </row>
    <row r="34" spans="2:20">
      <c r="B34" s="209" t="s">
        <v>678</v>
      </c>
      <c r="C34"/>
      <c r="D34" s="55"/>
      <c r="E34" s="55">
        <v>2</v>
      </c>
      <c r="G34" s="1" t="str">
        <f>'Phase I - Summary'!F37</f>
        <v>Origination Fee</v>
      </c>
      <c r="J34" s="491">
        <f>'Phase I - Summary'!I37</f>
        <v>0.01</v>
      </c>
      <c r="K34" s="381"/>
      <c r="L34" s="551"/>
      <c r="M34" s="42"/>
      <c r="N34" s="42"/>
      <c r="O34" s="42"/>
      <c r="Q34" s="104" t="str">
        <f>'Phase I - CF Commercial'!B21</f>
        <v>LC</v>
      </c>
      <c r="T34" s="604">
        <f>'Phase I - CF Commercial'!G21</f>
        <v>0.06</v>
      </c>
    </row>
    <row r="35" spans="2:20">
      <c r="B35" s="209" t="s">
        <v>786</v>
      </c>
      <c r="C35"/>
      <c r="D35" s="191"/>
      <c r="E35" s="191">
        <f>SUM(E33:E34)</f>
        <v>2031</v>
      </c>
      <c r="Q35" s="104" t="str">
        <f>'Phase I - CF Commercial'!B23</f>
        <v>Exit Cap Rate</v>
      </c>
      <c r="T35" s="604">
        <f>'Phase I - CF Commercial'!G23</f>
        <v>5.5E-2</v>
      </c>
    </row>
    <row r="36" spans="2:20">
      <c r="C36"/>
    </row>
    <row r="37" spans="2:20" ht="14.4">
      <c r="B37" s="11" t="s">
        <v>794</v>
      </c>
      <c r="C37" s="563" t="s">
        <v>32</v>
      </c>
      <c r="D37" s="563" t="s">
        <v>450</v>
      </c>
      <c r="E37" s="563" t="s">
        <v>451</v>
      </c>
      <c r="G37" s="211" t="s">
        <v>457</v>
      </c>
      <c r="H37" s="561" t="s">
        <v>32</v>
      </c>
      <c r="I37" s="561" t="s">
        <v>450</v>
      </c>
      <c r="J37" s="561" t="s">
        <v>451</v>
      </c>
      <c r="L37" s="555" t="s">
        <v>647</v>
      </c>
      <c r="M37" s="562" t="s">
        <v>32</v>
      </c>
      <c r="N37" s="562" t="s">
        <v>450</v>
      </c>
      <c r="O37" s="562" t="s">
        <v>451</v>
      </c>
      <c r="Q37" s="477" t="s">
        <v>805</v>
      </c>
      <c r="R37" s="485"/>
      <c r="S37" s="480"/>
      <c r="T37" s="480"/>
    </row>
    <row r="38" spans="2:20">
      <c r="B38" t="s">
        <v>452</v>
      </c>
      <c r="C38" s="51">
        <f>SUM('Phase II - Summary'!G14,'Phase I - Summary'!G14)</f>
        <v>148677820</v>
      </c>
      <c r="D38" s="46">
        <f t="shared" ref="D38:D43" ca="1" si="0">C38/$C$44</f>
        <v>0.1800516510456136</v>
      </c>
      <c r="E38" s="47">
        <f ca="1">C38/'Area Matrix'!$D$16</f>
        <v>49.605846443689565</v>
      </c>
      <c r="G38" t="s">
        <v>452</v>
      </c>
      <c r="H38" s="51">
        <f>'Phase I - Summary'!G14</f>
        <v>44629803</v>
      </c>
      <c r="I38" s="560">
        <f ca="1">'Phase I - Summary'!H14</f>
        <v>0.1580722802508672</v>
      </c>
      <c r="J38" s="51">
        <f>'Phase I - Summary'!I14</f>
        <v>39.786952631903823</v>
      </c>
      <c r="L38" t="s">
        <v>452</v>
      </c>
      <c r="M38" s="51">
        <f>'Phase II - Summary'!G14</f>
        <v>104048017</v>
      </c>
      <c r="N38" s="560">
        <f ca="1">'Phase II - Summary'!H14</f>
        <v>0.19147134563355145</v>
      </c>
      <c r="O38" s="51">
        <f>'Phase II - Summary'!I14</f>
        <v>55.478551079510275</v>
      </c>
      <c r="Q38" s="601" t="str">
        <f>'Phase I - CF Retail'!B18</f>
        <v>Base Rent</v>
      </c>
      <c r="R38" s="486"/>
      <c r="S38" s="483"/>
      <c r="T38" s="605">
        <f>'Phase I - CF Retail'!G18</f>
        <v>30.58</v>
      </c>
    </row>
    <row r="39" spans="2:20">
      <c r="B39" t="s">
        <v>395</v>
      </c>
      <c r="C39" s="51">
        <f ca="1">SUM('Phase II - Summary'!G15,'Phase I - Summary'!G15)</f>
        <v>446504294.79469621</v>
      </c>
      <c r="D39" s="46">
        <f t="shared" ca="1" si="0"/>
        <v>0.54072514297520924</v>
      </c>
      <c r="E39" s="47">
        <f ca="1">C39/'Area Matrix'!$D$16</f>
        <v>148.97463175094708</v>
      </c>
      <c r="G39" t="s">
        <v>395</v>
      </c>
      <c r="H39" s="51">
        <f ca="1">'Phase I - Summary'!G15</f>
        <v>165095405.8116</v>
      </c>
      <c r="I39" s="560">
        <f ca="1">'Phase I - Summary'!H15</f>
        <v>0.58474394914048544</v>
      </c>
      <c r="J39" s="51">
        <f ca="1">'Phase I - Summary'!I15</f>
        <v>147.18064273712048</v>
      </c>
      <c r="L39" t="s">
        <v>395</v>
      </c>
      <c r="M39" s="51">
        <f ca="1">'Phase II - Summary'!G15</f>
        <v>281408888.98309618</v>
      </c>
      <c r="N39" s="560">
        <f ca="1">'Phase II - Summary'!H15</f>
        <v>0.51785454639501793</v>
      </c>
      <c r="O39" s="51">
        <f ca="1">'Phase II - Summary'!I15</f>
        <v>150.04762101018164</v>
      </c>
      <c r="Q39" s="104" t="str">
        <f>'Phase I - CF Retail'!B19</f>
        <v>Rent Growth</v>
      </c>
      <c r="R39" s="381"/>
      <c r="S39" s="481"/>
      <c r="T39" s="604">
        <f>'Phase I - CF Retail'!G19</f>
        <v>0.03</v>
      </c>
    </row>
    <row r="40" spans="2:20">
      <c r="B40" t="s">
        <v>410</v>
      </c>
      <c r="C40" s="51">
        <f ca="1">SUM('Phase II - Summary'!G16,'Phase I - Summary'!G16)</f>
        <v>66975644.219204426</v>
      </c>
      <c r="D40" s="46">
        <f t="shared" ca="1" si="0"/>
        <v>8.1108771446281383E-2</v>
      </c>
      <c r="E40" s="47">
        <f ca="1">C40/'Area Matrix'!$D$16</f>
        <v>22.346194762642064</v>
      </c>
      <c r="G40" t="s">
        <v>410</v>
      </c>
      <c r="H40" s="51">
        <f ca="1">'Phase I - Summary'!G16</f>
        <v>24764310.871740002</v>
      </c>
      <c r="I40" s="560">
        <f ca="1">'Phase I - Summary'!H16</f>
        <v>8.771159237107283E-2</v>
      </c>
      <c r="J40" s="51">
        <f ca="1">'Phase I - Summary'!I16</f>
        <v>22.077096410568075</v>
      </c>
      <c r="L40" t="s">
        <v>410</v>
      </c>
      <c r="M40" s="51">
        <f ca="1">'Phase II - Summary'!G16</f>
        <v>42211333.347464427</v>
      </c>
      <c r="N40" s="560">
        <f ca="1">'Phase II - Summary'!H16</f>
        <v>7.767818195925269E-2</v>
      </c>
      <c r="O40" s="51">
        <f ca="1">'Phase II - Summary'!I16</f>
        <v>22.507143151527249</v>
      </c>
      <c r="Q40" s="104" t="str">
        <f>'Phase I - CF Retail'!B20</f>
        <v>Expense Growth</v>
      </c>
      <c r="R40" s="381"/>
      <c r="S40" s="481"/>
      <c r="T40" s="604">
        <f>'Phase I - CF Retail'!G20</f>
        <v>0.02</v>
      </c>
    </row>
    <row r="41" spans="2:20">
      <c r="B41" s="1" t="s">
        <v>9</v>
      </c>
      <c r="C41" s="51">
        <f ca="1">SUM('Phase II - Summary'!G17,'Phase I - Summary'!G17)</f>
        <v>32844572.172824454</v>
      </c>
      <c r="D41" s="46">
        <f t="shared" ca="1" si="0"/>
        <v>3.9775397887888454E-2</v>
      </c>
      <c r="E41" s="47">
        <f ca="1">C41/'Area Matrix'!$D$16</f>
        <v>10.95847923862355</v>
      </c>
      <c r="G41" s="1" t="s">
        <v>9</v>
      </c>
      <c r="H41" s="51">
        <f ca="1">'Phase I - Summary'!G17</f>
        <v>14954286</v>
      </c>
      <c r="I41" s="560">
        <f ca="1">'Phase I - Summary'!H17</f>
        <v>5.2965909070753013E-2</v>
      </c>
      <c r="J41" s="51">
        <f ca="1">'Phase I - Summary'!I17</f>
        <v>13.331572821998396</v>
      </c>
      <c r="L41" s="1" t="s">
        <v>9</v>
      </c>
      <c r="M41" s="51">
        <f>'Phase II - Summary'!G17</f>
        <v>17890286.172824454</v>
      </c>
      <c r="N41" s="560">
        <f ca="1">'Phase II - Summary'!H17</f>
        <v>3.2922080266844657E-2</v>
      </c>
      <c r="O41" s="51">
        <f>'Phase II - Summary'!I17</f>
        <v>9.5391261062293751</v>
      </c>
      <c r="Q41" s="104" t="str">
        <f>'Phase I - CF Retail'!B21</f>
        <v>Vacancy Y1</v>
      </c>
      <c r="R41" s="381"/>
      <c r="S41" s="481"/>
      <c r="T41" s="604">
        <f>'Phase I - CF Retail'!G21</f>
        <v>0.1</v>
      </c>
    </row>
    <row r="42" spans="2:20">
      <c r="B42" t="s">
        <v>426</v>
      </c>
      <c r="C42" s="51">
        <f ca="1">SUM('Phase II - Summary'!G18,'Phase I - Summary'!G18)</f>
        <v>5367381.1064091502</v>
      </c>
      <c r="D42" s="46">
        <f t="shared" ca="1" si="0"/>
        <v>6.4999999999999988E-3</v>
      </c>
      <c r="E42" s="47">
        <f ca="1">C42/'Area Matrix'!$D$16</f>
        <v>1.7908083597761448</v>
      </c>
      <c r="G42" t="s">
        <v>426</v>
      </c>
      <c r="H42" s="51">
        <f ca="1">'Phase I - Summary'!G18</f>
        <v>1835196.6520607492</v>
      </c>
      <c r="I42" s="560">
        <f ca="1">'Phase I - Summary'!H18</f>
        <v>6.4999999999999997E-3</v>
      </c>
      <c r="J42" s="51">
        <f ca="1">'Phase I - Summary'!I18</f>
        <v>1.6360565666348452</v>
      </c>
      <c r="L42" t="s">
        <v>426</v>
      </c>
      <c r="M42" s="51">
        <f ca="1">'Phase II - Summary'!G18</f>
        <v>3532184.4543484007</v>
      </c>
      <c r="N42" s="560">
        <f ca="1">'Phase II - Summary'!H18</f>
        <v>6.4999999999999997E-3</v>
      </c>
      <c r="O42" s="51">
        <f ca="1">'Phase II - Summary'!I18</f>
        <v>1.8833657894010596</v>
      </c>
      <c r="Q42" s="104" t="str">
        <f>'Phase I - CF Retail'!B22</f>
        <v>TI</v>
      </c>
      <c r="R42" s="381"/>
      <c r="S42" s="481"/>
      <c r="T42" s="396">
        <f>'Phase I - CF Retail'!G22</f>
        <v>15</v>
      </c>
    </row>
    <row r="43" spans="2:20">
      <c r="B43" t="s">
        <v>398</v>
      </c>
      <c r="C43" s="51">
        <f ca="1">SUM('Phase II - Summary'!G19,'Phase I - Summary'!G19)</f>
        <v>125381227.15442738</v>
      </c>
      <c r="D43" s="46">
        <f t="shared" ca="1" si="0"/>
        <v>0.15183903664500711</v>
      </c>
      <c r="E43" s="47">
        <f ca="1">C43/'Area Matrix'!$D$16</f>
        <v>41.8330178714208</v>
      </c>
      <c r="G43" t="s">
        <v>398</v>
      </c>
      <c r="H43" s="51">
        <f ca="1">'Phase I - Summary'!G19</f>
        <v>31058944.135483749</v>
      </c>
      <c r="I43" s="560">
        <f ca="1">'Phase I - Summary'!H19</f>
        <v>0.11000626916682146</v>
      </c>
      <c r="J43" s="51">
        <f ca="1">'Phase I - Summary'!I19</f>
        <v>27.688689083289006</v>
      </c>
      <c r="L43" t="s">
        <v>398</v>
      </c>
      <c r="M43" s="51">
        <f ca="1">'Phase II - Summary'!G19</f>
        <v>94322283.018943623</v>
      </c>
      <c r="N43" s="560">
        <f ca="1">'Phase II - Summary'!H19</f>
        <v>0.17357384574533327</v>
      </c>
      <c r="O43" s="51">
        <f ca="1">'Phase II - Summary'!I19</f>
        <v>50.29277584792883</v>
      </c>
      <c r="Q43" s="104" t="str">
        <f>'Phase I - CF Retail'!B23</f>
        <v>LC</v>
      </c>
      <c r="T43" s="604">
        <f>'Phase I - CF Retail'!G23</f>
        <v>0.06</v>
      </c>
    </row>
    <row r="44" spans="2:20" ht="14.4">
      <c r="B44" s="9" t="s">
        <v>453</v>
      </c>
      <c r="C44" s="48">
        <f ca="1">SUM(C38:C43)</f>
        <v>825750939.44756174</v>
      </c>
      <c r="D44" s="472">
        <f ca="1">SUM(D38:D43)</f>
        <v>0.99999999999999967</v>
      </c>
      <c r="E44" s="49"/>
      <c r="G44" s="9" t="s">
        <v>453</v>
      </c>
      <c r="H44" s="48">
        <f ca="1">SUM(H38:H43)</f>
        <v>282337946.4708845</v>
      </c>
      <c r="I44" s="472">
        <f ca="1">SUM(I38:I43)</f>
        <v>0.99999999999999989</v>
      </c>
      <c r="J44" s="49"/>
      <c r="L44" s="9" t="s">
        <v>453</v>
      </c>
      <c r="M44" s="48">
        <f ca="1">SUM(M38:M43)</f>
        <v>543412992.97667706</v>
      </c>
      <c r="N44" s="472">
        <f ca="1">SUM(N38:N43)</f>
        <v>1</v>
      </c>
      <c r="O44" s="49"/>
      <c r="Q44" s="103" t="s">
        <v>390</v>
      </c>
      <c r="T44" s="604">
        <f>'Phase I - CF Retail'!G25</f>
        <v>0.05</v>
      </c>
    </row>
    <row r="45" spans="2:20">
      <c r="E45" s="4"/>
      <c r="G45"/>
      <c r="J45" s="4"/>
      <c r="L45"/>
      <c r="M45" s="4"/>
      <c r="O45" s="4"/>
    </row>
    <row r="46" spans="2:20" ht="14.4">
      <c r="B46" s="477" t="s">
        <v>499</v>
      </c>
      <c r="C46" s="478" t="s">
        <v>32</v>
      </c>
      <c r="D46" s="478" t="s">
        <v>450</v>
      </c>
      <c r="E46" s="478"/>
      <c r="G46" s="211" t="s">
        <v>454</v>
      </c>
      <c r="H46" s="561" t="s">
        <v>32</v>
      </c>
      <c r="I46" s="561" t="s">
        <v>450</v>
      </c>
      <c r="J46" s="554"/>
      <c r="L46" s="555" t="s">
        <v>648</v>
      </c>
      <c r="M46" s="562" t="s">
        <v>32</v>
      </c>
      <c r="N46" s="562" t="s">
        <v>450</v>
      </c>
      <c r="O46" s="556"/>
      <c r="Q46" s="477" t="s">
        <v>806</v>
      </c>
      <c r="R46" s="485"/>
      <c r="S46" s="480"/>
      <c r="T46" s="480"/>
    </row>
    <row r="47" spans="2:20">
      <c r="B47" s="5" t="s">
        <v>28</v>
      </c>
      <c r="C47" s="492">
        <f ca="1">SUM('Phase II - Summary'!G23,'Phase I - Summary'!G23)</f>
        <v>191240144.66578329</v>
      </c>
      <c r="D47" s="257">
        <f t="shared" ref="D47:D52" ca="1" si="1">C47/$C$53</f>
        <v>0.23159543093432686</v>
      </c>
      <c r="E47" s="257"/>
      <c r="G47" s="1" t="s">
        <v>28</v>
      </c>
      <c r="H47" s="51">
        <f ca="1">'Phase I - Summary'!G23</f>
        <v>54797359.843583971</v>
      </c>
      <c r="I47" s="560">
        <f ca="1">'Phase I - Summary'!H23</f>
        <v>0.19408428986797505</v>
      </c>
      <c r="J47" s="51"/>
      <c r="L47" s="1" t="s">
        <v>28</v>
      </c>
      <c r="M47" s="51">
        <f ca="1">'Phase II - Summary'!G23</f>
        <v>136442784.82219931</v>
      </c>
      <c r="N47" s="560">
        <f ca="1">'Phase II - Summary'!H23</f>
        <v>0.25108487758969605</v>
      </c>
      <c r="O47" s="4"/>
      <c r="Q47" s="601" t="str">
        <f>'Phase II - CF Hotel'!B16</f>
        <v>Average Room Size</v>
      </c>
      <c r="R47" s="486"/>
      <c r="S47" s="483"/>
      <c r="T47" s="606">
        <f>'Phase II - CF Hotel'!G16</f>
        <v>500</v>
      </c>
    </row>
    <row r="48" spans="2:20">
      <c r="B48" s="209" t="s">
        <v>673</v>
      </c>
      <c r="C48" s="51">
        <f ca="1">'Phase I - Summary'!G24</f>
        <v>24764310.871740002</v>
      </c>
      <c r="D48" s="46">
        <f t="shared" ca="1" si="1"/>
        <v>2.9990048680183949E-2</v>
      </c>
      <c r="E48" s="396"/>
      <c r="G48" s="209" t="s">
        <v>673</v>
      </c>
      <c r="H48" s="51">
        <f ca="1">'Phase I - Summary'!G24</f>
        <v>24764310.871740002</v>
      </c>
      <c r="I48" s="560">
        <f ca="1">'Phase I - Summary'!H24</f>
        <v>8.771159237107283E-2</v>
      </c>
      <c r="J48" s="216"/>
      <c r="L48" s="209" t="s">
        <v>652</v>
      </c>
      <c r="M48" s="51">
        <f ca="1">'Phase II - Summary'!G24</f>
        <v>6912706.0365730505</v>
      </c>
      <c r="N48" s="560">
        <f ca="1">'Phase II - Summary'!H24</f>
        <v>1.2720906798173925E-2</v>
      </c>
      <c r="O48" s="215"/>
      <c r="Q48" s="104" t="str">
        <f>'Phase II - CF Hotel'!B17</f>
        <v>Average Daily Rate</v>
      </c>
      <c r="R48" s="381"/>
      <c r="S48" s="481"/>
      <c r="T48" s="396">
        <f>'Phase II - CF Hotel'!G17</f>
        <v>130</v>
      </c>
    </row>
    <row r="49" spans="2:20">
      <c r="B49" s="1" t="s">
        <v>652</v>
      </c>
      <c r="C49" s="51">
        <f ca="1">SUM('Phase I - Summary'!G25,'Phase II - Summary'!G24)</f>
        <v>11155197.634659324</v>
      </c>
      <c r="D49" s="46">
        <f t="shared" ca="1" si="1"/>
        <v>1.3509155244948676E-2</v>
      </c>
      <c r="E49" s="396"/>
      <c r="G49" s="1" t="s">
        <v>652</v>
      </c>
      <c r="H49" s="51">
        <f ca="1">'Phase I - Summary'!G25</f>
        <v>4242491.5980862742</v>
      </c>
      <c r="I49" s="560">
        <f ca="1">'Phase I - Summary'!H25</f>
        <v>1.502628906640352E-2</v>
      </c>
      <c r="J49" s="216"/>
      <c r="L49" s="209" t="s">
        <v>727</v>
      </c>
      <c r="M49" s="51">
        <f ca="1">'Phase II - Summary'!G25</f>
        <v>35339056.683064602</v>
      </c>
      <c r="N49" s="560">
        <f ca="1">'Phase II - Summary'!H25</f>
        <v>6.5031674140668419E-2</v>
      </c>
      <c r="O49" s="4"/>
      <c r="Q49" s="104" t="str">
        <f>'Phase II - CF Hotel'!B18</f>
        <v>ADR Growth</v>
      </c>
      <c r="R49" s="381"/>
      <c r="S49" s="481"/>
      <c r="T49" s="604">
        <f>'Phase II - CF Hotel'!G18</f>
        <v>0.03</v>
      </c>
    </row>
    <row r="50" spans="2:20">
      <c r="B50" s="1" t="s">
        <v>727</v>
      </c>
      <c r="C50" s="51">
        <f ca="1">SUM('Phase I - Summary'!G26,'Phase II - Summary'!G25)</f>
        <v>38853175.634463929</v>
      </c>
      <c r="D50" s="46">
        <f t="shared" ca="1" si="1"/>
        <v>4.7051930283551625E-2</v>
      </c>
      <c r="E50" s="396"/>
      <c r="G50" s="1" t="s">
        <v>727</v>
      </c>
      <c r="H50" s="51">
        <f ca="1">'Phase I - Summary'!G26</f>
        <v>3514118.9513993259</v>
      </c>
      <c r="I50" s="560">
        <f ca="1">'Phase I - Summary'!H26</f>
        <v>1.2446498939743872E-2</v>
      </c>
      <c r="J50" s="216"/>
      <c r="L50" s="209" t="s">
        <v>730</v>
      </c>
      <c r="M50" s="51">
        <f>'Phase II - Summary'!G26</f>
        <v>11500000</v>
      </c>
      <c r="N50" s="560">
        <f ca="1">'Phase II - Summary'!H26</f>
        <v>2.1162541471461602E-2</v>
      </c>
      <c r="O50" s="215"/>
      <c r="Q50" s="104" t="str">
        <f>'Phase II - CF Hotel'!B19</f>
        <v>Average Occupancy</v>
      </c>
      <c r="R50" s="381"/>
      <c r="S50" s="481"/>
      <c r="T50" s="604">
        <f>'Phase II - CF Hotel'!G19</f>
        <v>0.7</v>
      </c>
    </row>
    <row r="51" spans="2:20">
      <c r="B51" s="209" t="s">
        <v>730</v>
      </c>
      <c r="C51" s="51">
        <f>SUM('Phase I - Summary'!G27,'Phase II - Summary'!G26)</f>
        <v>23000000</v>
      </c>
      <c r="D51" s="433">
        <f t="shared" ca="1" si="1"/>
        <v>2.7853434856988848E-2</v>
      </c>
      <c r="E51" s="396"/>
      <c r="G51" s="209" t="s">
        <v>730</v>
      </c>
      <c r="H51" s="51">
        <f>'Phase I - Summary'!G27</f>
        <v>11500000</v>
      </c>
      <c r="I51" s="560">
        <f ca="1">'Phase I - Summary'!H27</f>
        <v>4.0731329754804722E-2</v>
      </c>
      <c r="J51" s="216"/>
      <c r="L51" s="1" t="s">
        <v>424</v>
      </c>
      <c r="M51" s="51">
        <f ca="1">'Phase II - Summary'!G27</f>
        <v>353218445.43484008</v>
      </c>
      <c r="N51" s="560">
        <f ca="1">'Phase II - Summary'!H27</f>
        <v>0.65</v>
      </c>
      <c r="O51" s="4"/>
      <c r="Q51" s="104" t="str">
        <f>'Phase II - CF Hotel'!B20</f>
        <v>Management Fee</v>
      </c>
      <c r="R51" s="381"/>
      <c r="S51" s="481"/>
      <c r="T51" s="604">
        <f>'Phase II - CF Hotel'!G20</f>
        <v>0.03</v>
      </c>
    </row>
    <row r="52" spans="2:20">
      <c r="B52" s="1" t="s">
        <v>424</v>
      </c>
      <c r="C52" s="51">
        <f ca="1">SUM('Phase I - Summary'!G28,'Phase II - Summary'!G27)</f>
        <v>536738110.64091504</v>
      </c>
      <c r="D52" s="46">
        <f t="shared" ca="1" si="1"/>
        <v>0.65</v>
      </c>
      <c r="E52" s="396"/>
      <c r="G52" s="1" t="s">
        <v>424</v>
      </c>
      <c r="H52" s="51">
        <f ca="1">'Phase I - Summary'!G28</f>
        <v>183519665.20607492</v>
      </c>
      <c r="I52" s="560">
        <f ca="1">'Phase I - Summary'!H28</f>
        <v>0.65</v>
      </c>
      <c r="J52" s="216"/>
      <c r="N52" s="490"/>
      <c r="Q52" s="104" t="str">
        <f>'Phase II - CF Hotel'!B22</f>
        <v>Expense Growth</v>
      </c>
      <c r="R52" s="100"/>
      <c r="S52" s="100"/>
      <c r="T52" s="604">
        <f>'Phase II - CF Hotel'!G22</f>
        <v>0.02</v>
      </c>
    </row>
    <row r="53" spans="2:20" ht="15" thickBot="1">
      <c r="B53" s="9" t="s">
        <v>458</v>
      </c>
      <c r="C53" s="473">
        <f ca="1">SUM(C47:C52)</f>
        <v>825750939.44756162</v>
      </c>
      <c r="D53" s="474">
        <f ca="1">SUM(D47:D52)</f>
        <v>1</v>
      </c>
      <c r="E53" s="474"/>
      <c r="G53" s="9" t="s">
        <v>458</v>
      </c>
      <c r="H53" s="473">
        <f ca="1">SUM(H47:H52)</f>
        <v>282337946.4708845</v>
      </c>
      <c r="I53" s="474">
        <f ca="1">SUM(I47:I52)</f>
        <v>1</v>
      </c>
      <c r="J53" s="553"/>
      <c r="L53" s="9" t="s">
        <v>458</v>
      </c>
      <c r="M53" s="473">
        <f ca="1">SUM(M47:M51)</f>
        <v>543412992.97667706</v>
      </c>
      <c r="N53" s="474">
        <f ca="1">SUM(N47:N51)</f>
        <v>1</v>
      </c>
      <c r="O53" s="53"/>
      <c r="Q53" s="1" t="s">
        <v>390</v>
      </c>
      <c r="T53" s="491">
        <f>'Phase II - CF Hotel'!G24</f>
        <v>7.0000000000000007E-2</v>
      </c>
    </row>
    <row r="54" spans="2:20" ht="13.8" thickBot="1">
      <c r="B54" s="61" t="s">
        <v>634</v>
      </c>
      <c r="C54" s="218">
        <f ca="1">SUM(C47:C52)-C44</f>
        <v>0</v>
      </c>
    </row>
  </sheetData>
  <pageMargins left="0.7" right="0.7" top="0.75" bottom="0.75" header="0.3" footer="0.3"/>
  <pageSetup paperSize="3" scale="82" fitToHeight="0" orientation="landscape" r:id="rId1"/>
  <headerFooter>
    <oddHeader xml:space="preserve">&amp;L2019 ULI Hines Student Competition&amp;R2019-331 &amp;A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CE4-976A-4689-9214-941078AC6895}">
  <sheetPr>
    <tabColor rgb="FF92D050"/>
    <pageSetUpPr fitToPage="1"/>
  </sheetPr>
  <dimension ref="B9:S34"/>
  <sheetViews>
    <sheetView showGridLines="0" view="pageBreakPreview" zoomScale="80" zoomScaleNormal="100" zoomScaleSheetLayoutView="80" workbookViewId="0"/>
  </sheetViews>
  <sheetFormatPr defaultRowHeight="13.2"/>
  <cols>
    <col min="1" max="1" width="2.77734375" customWidth="1"/>
    <col min="2" max="2" width="21.33203125" bestFit="1" customWidth="1"/>
    <col min="3" max="3" width="2.5546875" customWidth="1"/>
    <col min="4" max="8" width="11.77734375" style="4" bestFit="1" customWidth="1"/>
    <col min="9" max="9" width="7.5546875" style="612" bestFit="1" customWidth="1"/>
    <col min="10" max="10" width="1.77734375" style="462" customWidth="1"/>
    <col min="11" max="11" width="21.33203125" bestFit="1" customWidth="1"/>
    <col min="12" max="12" width="3" customWidth="1"/>
    <col min="13" max="17" width="11.77734375" style="4" bestFit="1" customWidth="1"/>
    <col min="18" max="18" width="9.109375" style="612" bestFit="1" customWidth="1"/>
    <col min="19" max="19" width="8.88671875" style="462"/>
  </cols>
  <sheetData>
    <row r="9" spans="2:19">
      <c r="B9" s="445" t="s">
        <v>762</v>
      </c>
    </row>
    <row r="12" spans="2:19" s="219" customFormat="1">
      <c r="B12" s="638" t="s">
        <v>828</v>
      </c>
      <c r="C12" s="638"/>
      <c r="D12" s="639">
        <v>288911</v>
      </c>
      <c r="E12" s="639">
        <v>143502</v>
      </c>
      <c r="F12" s="639">
        <v>109410</v>
      </c>
      <c r="G12" s="639">
        <v>355175</v>
      </c>
      <c r="H12" s="639">
        <v>174270</v>
      </c>
      <c r="I12" s="640"/>
      <c r="J12" s="641"/>
      <c r="K12" s="642" t="s">
        <v>827</v>
      </c>
      <c r="L12" s="642"/>
      <c r="M12" s="643">
        <v>527775</v>
      </c>
      <c r="N12" s="643">
        <v>181686</v>
      </c>
      <c r="O12" s="643">
        <v>163654</v>
      </c>
      <c r="P12" s="643">
        <v>620796</v>
      </c>
      <c r="Q12" s="643">
        <v>244696</v>
      </c>
      <c r="R12" s="640"/>
      <c r="S12" s="641"/>
    </row>
    <row r="13" spans="2:19" s="178" customFormat="1" ht="7.2" customHeight="1">
      <c r="B13" s="634"/>
      <c r="C13" s="634"/>
      <c r="D13" s="635"/>
      <c r="E13" s="635"/>
      <c r="F13" s="635"/>
      <c r="G13" s="635"/>
      <c r="H13" s="635"/>
      <c r="I13" s="637"/>
      <c r="J13" s="422"/>
      <c r="K13" s="482"/>
      <c r="L13" s="482"/>
      <c r="M13" s="636"/>
      <c r="N13" s="636"/>
      <c r="O13" s="636"/>
      <c r="P13" s="636"/>
      <c r="Q13" s="636"/>
      <c r="R13" s="609"/>
      <c r="S13" s="612"/>
    </row>
    <row r="14" spans="2:19">
      <c r="B14" t="s">
        <v>810</v>
      </c>
      <c r="D14" s="613">
        <f>D12-D19</f>
        <v>266461</v>
      </c>
      <c r="E14" s="633">
        <v>0</v>
      </c>
      <c r="F14" s="633">
        <v>0</v>
      </c>
      <c r="G14" s="613">
        <f>G12-G19</f>
        <v>338885</v>
      </c>
      <c r="H14" s="633">
        <v>0</v>
      </c>
      <c r="I14" s="609">
        <f>SUM(D14:H14)</f>
        <v>605346</v>
      </c>
      <c r="J14" s="462">
        <f>I14/$I$34</f>
        <v>0.61962589845581262</v>
      </c>
      <c r="K14" t="s">
        <v>810</v>
      </c>
      <c r="M14" s="613">
        <f>M12-M19</f>
        <v>473727</v>
      </c>
      <c r="N14" s="633">
        <v>0</v>
      </c>
      <c r="O14" s="613">
        <f>O12-O19</f>
        <v>137725</v>
      </c>
      <c r="P14" s="633">
        <v>0</v>
      </c>
      <c r="Q14" s="633">
        <v>0</v>
      </c>
      <c r="R14" s="609">
        <f>SUM(M14:Q14)</f>
        <v>611452</v>
      </c>
      <c r="S14" s="462">
        <f>R14/$R$34</f>
        <v>0.39976986093585526</v>
      </c>
    </row>
    <row r="15" spans="2:19">
      <c r="B15" t="s">
        <v>811</v>
      </c>
      <c r="D15" s="260">
        <f>ROUNDDOWN(D14/'Phase I - CF MF Market Rental'!$G$16,0)</f>
        <v>266</v>
      </c>
      <c r="E15" s="633">
        <v>0</v>
      </c>
      <c r="F15" s="633">
        <v>0</v>
      </c>
      <c r="G15" s="260">
        <f>ROUNDDOWN(G14/'Phase I - CF MF Market Rental'!$G$16,0)</f>
        <v>338</v>
      </c>
      <c r="H15" s="633">
        <v>0</v>
      </c>
      <c r="K15" t="s">
        <v>811</v>
      </c>
      <c r="M15" s="260">
        <f>ROUNDDOWN(M14/'Phase I - CF MF Market Rental'!$G$16,0)</f>
        <v>473</v>
      </c>
      <c r="N15" s="633">
        <v>0</v>
      </c>
      <c r="O15" s="260">
        <f>ROUNDDOWN(O14/'Phase I - CF MF Market Rental'!$G$16,0)</f>
        <v>137</v>
      </c>
      <c r="P15" s="633">
        <v>0</v>
      </c>
      <c r="Q15" s="633">
        <v>0</v>
      </c>
    </row>
    <row r="16" spans="2:19">
      <c r="B16" t="s">
        <v>812</v>
      </c>
      <c r="D16" s="260">
        <f>D15*'Area Matrix'!$F$20</f>
        <v>79.8</v>
      </c>
      <c r="E16" s="633">
        <v>0</v>
      </c>
      <c r="F16" s="633">
        <v>0</v>
      </c>
      <c r="G16" s="260">
        <f>G15*'Area Matrix'!$F$20</f>
        <v>101.39999999999999</v>
      </c>
      <c r="H16" s="633">
        <v>0</v>
      </c>
      <c r="K16" t="s">
        <v>812</v>
      </c>
      <c r="M16" s="260">
        <f>M15*'Area Matrix'!$F$20</f>
        <v>141.9</v>
      </c>
      <c r="N16" s="633">
        <v>0</v>
      </c>
      <c r="O16" s="260">
        <f>O15*'Area Matrix'!$F$20</f>
        <v>41.1</v>
      </c>
      <c r="P16" s="633">
        <v>0</v>
      </c>
      <c r="Q16" s="633">
        <v>0</v>
      </c>
    </row>
    <row r="17" spans="2:19">
      <c r="B17" t="s">
        <v>813</v>
      </c>
      <c r="D17" s="260">
        <f>D15-D16</f>
        <v>186.2</v>
      </c>
      <c r="E17" s="633">
        <v>0</v>
      </c>
      <c r="F17" s="633">
        <v>0</v>
      </c>
      <c r="G17" s="260">
        <f>G15-G16</f>
        <v>236.60000000000002</v>
      </c>
      <c r="H17" s="633">
        <v>0</v>
      </c>
      <c r="K17" t="s">
        <v>813</v>
      </c>
      <c r="M17" s="260">
        <f>M15-M16</f>
        <v>331.1</v>
      </c>
      <c r="N17" s="633">
        <v>0</v>
      </c>
      <c r="O17" s="260">
        <f>O15-O16</f>
        <v>95.9</v>
      </c>
      <c r="P17" s="633">
        <v>0</v>
      </c>
      <c r="Q17" s="633">
        <v>0</v>
      </c>
    </row>
    <row r="18" spans="2:19">
      <c r="B18" t="s">
        <v>814</v>
      </c>
      <c r="D18" s="633">
        <v>0</v>
      </c>
      <c r="E18" s="613">
        <f>E12-E19</f>
        <v>119585</v>
      </c>
      <c r="F18" s="613">
        <f>F12-F19</f>
        <v>91175</v>
      </c>
      <c r="G18" s="2">
        <v>0</v>
      </c>
      <c r="H18" s="613">
        <f>H12-H19</f>
        <v>160848</v>
      </c>
      <c r="I18" s="609">
        <f>SUM(D18:H18)</f>
        <v>371608</v>
      </c>
      <c r="J18" s="462">
        <f>I18/$I$34</f>
        <v>0.38037410154418733</v>
      </c>
      <c r="K18" t="s">
        <v>814</v>
      </c>
      <c r="M18" s="633">
        <v>0</v>
      </c>
      <c r="N18" s="633">
        <v>0</v>
      </c>
      <c r="O18" s="633">
        <v>0</v>
      </c>
      <c r="P18" s="613">
        <f>P12-P19</f>
        <v>557259</v>
      </c>
      <c r="Q18" s="613">
        <f>Q12-Q19</f>
        <v>202091</v>
      </c>
      <c r="R18" s="609">
        <f>SUM(M18:Q18)</f>
        <v>759350</v>
      </c>
      <c r="S18" s="462">
        <f>R18/$R$34</f>
        <v>0.49646618851789137</v>
      </c>
    </row>
    <row r="19" spans="2:19">
      <c r="B19" t="s">
        <v>815</v>
      </c>
      <c r="D19" s="613">
        <f>'Building Source Data'!E4</f>
        <v>22450</v>
      </c>
      <c r="E19" s="613">
        <f>'Building Source Data'!F4</f>
        <v>23917</v>
      </c>
      <c r="F19" s="613">
        <f>'Building Source Data'!G4</f>
        <v>18235</v>
      </c>
      <c r="G19" s="613">
        <f>'Building Source Data'!H4</f>
        <v>16290</v>
      </c>
      <c r="H19" s="613">
        <f>'Building Source Data'!I4</f>
        <v>13422</v>
      </c>
      <c r="I19" s="609">
        <f>'Area Matrix'!$D$22-SUM(D19:H19)</f>
        <v>0</v>
      </c>
      <c r="J19" s="462">
        <f>I19/$I$34</f>
        <v>0</v>
      </c>
      <c r="K19" t="s">
        <v>815</v>
      </c>
      <c r="M19" s="613">
        <f>'Building Source Data'!N4</f>
        <v>54048</v>
      </c>
      <c r="N19" s="613">
        <f>'Building Source Data'!O4</f>
        <v>22978</v>
      </c>
      <c r="O19" s="613">
        <f>'Building Source Data'!P4</f>
        <v>25929</v>
      </c>
      <c r="P19" s="613">
        <f>'Building Source Data'!Q4</f>
        <v>63537</v>
      </c>
      <c r="Q19" s="613">
        <f>'Building Source Data'!R4</f>
        <v>42605</v>
      </c>
      <c r="R19" s="610">
        <f>'Area Matrix'!$D$45-SUM(M19:Q19)</f>
        <v>0</v>
      </c>
      <c r="S19" s="1" t="s">
        <v>866</v>
      </c>
    </row>
    <row r="20" spans="2:19">
      <c r="B20" t="s">
        <v>816</v>
      </c>
      <c r="D20" s="633">
        <v>0</v>
      </c>
      <c r="E20" s="633">
        <v>0</v>
      </c>
      <c r="F20" s="633">
        <v>0</v>
      </c>
      <c r="G20" s="633">
        <v>0</v>
      </c>
      <c r="H20" s="633">
        <v>0</v>
      </c>
      <c r="I20" s="609">
        <f>SUM(D20:H20)</f>
        <v>0</v>
      </c>
      <c r="J20" s="462">
        <f>I20/$I$34</f>
        <v>0</v>
      </c>
      <c r="K20" t="s">
        <v>816</v>
      </c>
      <c r="M20" s="633">
        <v>0</v>
      </c>
      <c r="N20" s="613">
        <f>'Area Matrix'!D46</f>
        <v>158707.99999999997</v>
      </c>
      <c r="O20" s="633">
        <v>0</v>
      </c>
      <c r="P20" s="633">
        <v>0</v>
      </c>
      <c r="Q20" s="633">
        <v>0</v>
      </c>
      <c r="R20" s="609">
        <f>SUM(M20:Q20)</f>
        <v>158707.99999999997</v>
      </c>
      <c r="S20" s="462">
        <f>R20/$R$34</f>
        <v>0.10376395054625336</v>
      </c>
    </row>
    <row r="21" spans="2:19">
      <c r="B21" t="s">
        <v>817</v>
      </c>
      <c r="D21" s="4">
        <f>ROUNDUP(D15/1.5,0)</f>
        <v>178</v>
      </c>
      <c r="E21" s="633">
        <v>0</v>
      </c>
      <c r="F21" s="633">
        <v>0</v>
      </c>
      <c r="G21" s="4">
        <f>ROUNDUP(G15/1.5,0)</f>
        <v>226</v>
      </c>
      <c r="H21" s="633">
        <v>0</v>
      </c>
      <c r="K21" t="s">
        <v>817</v>
      </c>
      <c r="M21" s="4">
        <f>ROUNDUP(M15/1.5,0)</f>
        <v>316</v>
      </c>
      <c r="N21" s="633">
        <v>0</v>
      </c>
      <c r="O21" s="4">
        <f>ROUNDUP(O15/1.5,0)</f>
        <v>92</v>
      </c>
      <c r="P21" s="633">
        <v>0</v>
      </c>
      <c r="Q21" s="633">
        <v>0</v>
      </c>
    </row>
    <row r="22" spans="2:19">
      <c r="E22" s="2"/>
      <c r="F22" s="2"/>
      <c r="H22" s="2"/>
      <c r="P22" s="2"/>
      <c r="Q22" s="2"/>
    </row>
    <row r="23" spans="2:19">
      <c r="B23" s="607" t="s">
        <v>818</v>
      </c>
      <c r="K23" s="607" t="s">
        <v>818</v>
      </c>
    </row>
    <row r="24" spans="2:19" hidden="1">
      <c r="B24" t="s">
        <v>819</v>
      </c>
      <c r="K24" t="s">
        <v>819</v>
      </c>
    </row>
    <row r="25" spans="2:19" hidden="1">
      <c r="B25" t="s">
        <v>820</v>
      </c>
      <c r="K25" t="s">
        <v>820</v>
      </c>
    </row>
    <row r="26" spans="2:19" hidden="1">
      <c r="B26" t="s">
        <v>821</v>
      </c>
      <c r="K26" t="s">
        <v>821</v>
      </c>
    </row>
    <row r="27" spans="2:19" hidden="1">
      <c r="B27" t="s">
        <v>822</v>
      </c>
      <c r="K27" t="s">
        <v>822</v>
      </c>
    </row>
    <row r="28" spans="2:19">
      <c r="B28" s="1" t="s">
        <v>829</v>
      </c>
      <c r="D28" s="261">
        <f>SUM(D$14*'Area Matrix'!$D$27,'Building Summary'!D$18*'Area Matrix'!$D$29,'Building Summary'!D$19*'Area Matrix'!$D$30,'Building Summary'!D$20*'Area Matrix'!$D$31)</f>
        <v>44399555</v>
      </c>
      <c r="E28" s="261">
        <f>SUM(E$14*'Area Matrix'!$D$27,'Building Summary'!E$18*'Area Matrix'!$D$29,'Building Summary'!E$19*'Area Matrix'!$D$30,'Building Summary'!E$20*'Area Matrix'!$D$31)</f>
        <v>19683691</v>
      </c>
      <c r="F28" s="261">
        <f>SUM(F$14*'Area Matrix'!$D$27,'Building Summary'!F$18*'Area Matrix'!$D$29,'Building Summary'!F$19*'Area Matrix'!$D$30,'Building Summary'!F$20*'Area Matrix'!$D$31)</f>
        <v>15007405</v>
      </c>
      <c r="G28" s="261">
        <f>SUM(G$14*'Area Matrix'!$D$27,'Building Summary'!G$18*'Area Matrix'!$D$29,'Building Summary'!G$19*'Area Matrix'!$D$30,'Building Summary'!G$20*'Area Matrix'!$D$31)</f>
        <v>54775195</v>
      </c>
      <c r="H28" s="261">
        <f>SUM(H$14*'Area Matrix'!$D$27,'Building Summary'!H$18*'Area Matrix'!$D$29,'Building Summary'!H$19*'Area Matrix'!$D$30,'Building Summary'!H$20*'Area Matrix'!$D$31)</f>
        <v>23888412</v>
      </c>
      <c r="K28" s="1" t="s">
        <v>829</v>
      </c>
      <c r="M28" s="261">
        <f>SUM(M$14*'Area Matrix'!$D$50,'Building Summary'!M$18*'Area Matrix'!$D$52,'Building Summary'!M$19*'Area Matrix'!$D$53,'Building Summary'!M$20*'Area Matrix'!$D$54)</f>
        <v>82504035.180000007</v>
      </c>
      <c r="N28" s="261">
        <f>SUM(N$14*'Area Matrix'!$D$50,'Building Summary'!N$18*'Area Matrix'!$D$52,'Building Summary'!N$19*'Area Matrix'!$D$53,'Building Summary'!N$20*'Area Matrix'!$D$54)</f>
        <v>28326118.079999994</v>
      </c>
      <c r="O28" s="261">
        <f>SUM(O$14*'Area Matrix'!$D$50,'Building Summary'!O$18*'Area Matrix'!$D$52,'Building Summary'!O$19*'Area Matrix'!$D$53,'Building Summary'!O$20*'Area Matrix'!$D$54)</f>
        <v>25424088.539999999</v>
      </c>
      <c r="P28" s="261">
        <f>SUM(P$14*'Area Matrix'!$D$50,'Building Summary'!P$18*'Area Matrix'!$D$52,'Building Summary'!P$19*'Area Matrix'!$D$53,'Building Summary'!P$20*'Area Matrix'!$D$54)</f>
        <v>86814840.780000016</v>
      </c>
      <c r="Q28" s="261">
        <f>SUM(Q$14*'Area Matrix'!$D$50,'Building Summary'!Q$18*'Area Matrix'!$D$52,'Building Summary'!Q$19*'Area Matrix'!$D$53,'Building Summary'!Q$20*'Area Matrix'!$D$54)</f>
        <v>34237276.140000001</v>
      </c>
    </row>
    <row r="29" spans="2:19">
      <c r="B29" t="s">
        <v>823</v>
      </c>
      <c r="D29" s="261">
        <f ca="1">(D$12/SUM($D$12:$G$12)*'Phase I - Summary'!$G$24)</f>
        <v>7976251.6953942776</v>
      </c>
      <c r="E29" s="261">
        <f ca="1">(E$12/SUM($D$12:$G$12)*'Phase I - Summary'!$G$24)</f>
        <v>3961801.630233773</v>
      </c>
      <c r="F29" s="261">
        <f ca="1">(F$12/SUM($D$12:$G$12)*'Phase I - Summary'!$G$24)</f>
        <v>3020590.0709667956</v>
      </c>
      <c r="G29" s="261">
        <f ca="1">(G$12/SUM($D$12:$G$12)*'Phase I - Summary'!$G$24)</f>
        <v>9805667.4751451574</v>
      </c>
      <c r="H29" s="633">
        <v>0</v>
      </c>
      <c r="K29" t="s">
        <v>824</v>
      </c>
      <c r="M29" s="261">
        <f ca="1">(M$16/SUM($M$16+$O$16)*'Phase II - Summary'!$G$24)</f>
        <v>5360180.2545886114</v>
      </c>
      <c r="N29" s="633">
        <v>0</v>
      </c>
      <c r="O29" s="261">
        <f ca="1">(O$16/SUM($M$16+$O$16)*'Phase II - Summary'!$G$24)</f>
        <v>1552525.7819844394</v>
      </c>
      <c r="Q29" s="633">
        <v>0</v>
      </c>
    </row>
    <row r="30" spans="2:19">
      <c r="B30" t="s">
        <v>824</v>
      </c>
      <c r="D30" s="261">
        <f ca="1">(D$16/SUM($D$16+$G$16)*'Phase I - Summary'!$G$25)</f>
        <v>1868382.061408856</v>
      </c>
      <c r="E30" s="633">
        <v>0</v>
      </c>
      <c r="F30" s="633">
        <v>0</v>
      </c>
      <c r="G30" s="261">
        <f ca="1">(G$16/SUM($D$16+$G$16)*'Phase I - Summary'!$G$25)</f>
        <v>2374109.5366774183</v>
      </c>
      <c r="H30" s="633">
        <v>0</v>
      </c>
      <c r="K30" s="1" t="s">
        <v>826</v>
      </c>
      <c r="M30" s="261">
        <f ca="1">(M$12/SUM($M$12:$Q$12)*'Phase II - Summary'!$G$25)</f>
        <v>10727594.356231408</v>
      </c>
      <c r="N30" s="261">
        <f ca="1">(N$12/SUM($M$12:$Q$12)*'Phase II - Summary'!$G$25)</f>
        <v>3692963.3048292543</v>
      </c>
      <c r="O30" s="261">
        <f ca="1">(O$12/SUM($M$12:$Q$12)*'Phase II - Summary'!$G$25)</f>
        <v>3326443.5162231917</v>
      </c>
      <c r="P30" s="261">
        <f ca="1">(P$12/SUM($M$12:$Q$12)*'Phase II - Summary'!$G$25)</f>
        <v>12618346.200504066</v>
      </c>
      <c r="Q30" s="261">
        <f ca="1">(Q$12/SUM($M$12:$Q$12)*'Phase II - Summary'!$G$25)</f>
        <v>4973709.3052766817</v>
      </c>
    </row>
    <row r="31" spans="2:19">
      <c r="B31" s="1" t="s">
        <v>826</v>
      </c>
      <c r="D31" s="261">
        <f ca="1">(D$12/SUM($D$12:$H$12)*'Phase I - Summary'!$G$26)</f>
        <v>947725.14475157531</v>
      </c>
      <c r="E31" s="261">
        <f ca="1">(E$12/SUM($D$12:$H$12)*'Phase I - Summary'!$G$26)</f>
        <v>470734.7720306273</v>
      </c>
      <c r="F31" s="261">
        <f ca="1">(F$12/SUM($D$12:$H$12)*'Phase I - Summary'!$G$26)</f>
        <v>358901.5582212857</v>
      </c>
      <c r="G31" s="261">
        <f ca="1">(G$12/SUM($D$12:$H$12)*'Phase I - Summary'!$G$26)</f>
        <v>1165093.3273123584</v>
      </c>
      <c r="H31" s="261">
        <f ca="1">(H$12/SUM($D$12:$H$12)*'Phase I - Summary'!$G$26)</f>
        <v>571664.14908347907</v>
      </c>
      <c r="K31" t="s">
        <v>825</v>
      </c>
      <c r="M31" s="261">
        <f>(M$12/SUM($M$12+$O$12)*'Phase II - Summary'!$G$26)</f>
        <v>8778070.4887992833</v>
      </c>
      <c r="N31" s="633">
        <v>0</v>
      </c>
      <c r="O31" s="261">
        <f>(O$12/SUM($M$12+$O$12)*'Phase II - Summary'!$G$26)</f>
        <v>2721929.5112007163</v>
      </c>
      <c r="P31" s="633">
        <v>0</v>
      </c>
      <c r="Q31" s="633">
        <v>0</v>
      </c>
    </row>
    <row r="32" spans="2:19">
      <c r="B32" t="s">
        <v>825</v>
      </c>
      <c r="D32" s="261">
        <f>(D$12/SUM($D$12+$G$12)*'Phase I - Summary'!$G$27)</f>
        <v>5158436.1405153973</v>
      </c>
      <c r="E32" s="633">
        <v>0</v>
      </c>
      <c r="F32" s="633">
        <v>0</v>
      </c>
      <c r="G32" s="261">
        <f>(G$12/SUM($D$12+$G$12)*'Phase I - Summary'!$G$27)</f>
        <v>6341563.8594846036</v>
      </c>
      <c r="H32" s="633">
        <v>0</v>
      </c>
    </row>
    <row r="33" spans="2:18" ht="13.8" thickBot="1"/>
    <row r="34" spans="2:18" ht="13.8" thickBot="1">
      <c r="B34" s="1" t="s">
        <v>701</v>
      </c>
      <c r="D34" s="644">
        <f>D12-SUM(D18:D20,D14)</f>
        <v>0</v>
      </c>
      <c r="E34" s="645">
        <f t="shared" ref="E34:H34" si="0">E12-SUM(E18:E20,E14)</f>
        <v>0</v>
      </c>
      <c r="F34" s="645">
        <f t="shared" si="0"/>
        <v>0</v>
      </c>
      <c r="G34" s="645">
        <f t="shared" si="0"/>
        <v>0</v>
      </c>
      <c r="H34" s="646">
        <f t="shared" si="0"/>
        <v>0</v>
      </c>
      <c r="I34" s="609">
        <f>SUM(I14:I33)</f>
        <v>976954</v>
      </c>
      <c r="K34" s="1" t="s">
        <v>701</v>
      </c>
      <c r="M34" s="644">
        <f>M12-SUM(M18:M20,M14)</f>
        <v>0</v>
      </c>
      <c r="N34" s="645">
        <f t="shared" ref="N34:Q34" si="1">N12-SUM(N18:N20,N14)</f>
        <v>0</v>
      </c>
      <c r="O34" s="645">
        <f t="shared" si="1"/>
        <v>0</v>
      </c>
      <c r="P34" s="645">
        <f t="shared" si="1"/>
        <v>0</v>
      </c>
      <c r="Q34" s="646">
        <f t="shared" si="1"/>
        <v>0</v>
      </c>
      <c r="R34" s="610">
        <f>SUM(R14:R33)</f>
        <v>1529510</v>
      </c>
    </row>
  </sheetData>
  <printOptions horizontalCentered="1"/>
  <pageMargins left="0.7" right="0.7" top="0.75" bottom="0.75" header="0.3" footer="0.3"/>
  <pageSetup paperSize="3" fitToHeight="0" orientation="landscape" r:id="rId1"/>
  <headerFooter>
    <oddHeader xml:space="preserve">&amp;L2019 ULI Hines Student Competition&amp;R2019-331 &amp;A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C6CC7-B7EE-4F59-819E-FC699B149150}">
  <sheetPr>
    <tabColor rgb="FF92D050"/>
    <pageSetUpPr fitToPage="1"/>
  </sheetPr>
  <dimension ref="A1:P66"/>
  <sheetViews>
    <sheetView showGridLines="0" view="pageBreakPreview" zoomScale="80" zoomScaleNormal="100" zoomScaleSheetLayoutView="80" workbookViewId="0"/>
  </sheetViews>
  <sheetFormatPr defaultRowHeight="13.2"/>
  <cols>
    <col min="1" max="1" width="1.77734375" style="1" customWidth="1"/>
    <col min="2" max="2" width="38.109375" style="1" bestFit="1" customWidth="1"/>
    <col min="3" max="3" width="14.44140625" style="1" bestFit="1" customWidth="1"/>
    <col min="4" max="4" width="23" style="1" bestFit="1" customWidth="1"/>
    <col min="5" max="5" width="14.33203125" style="1" bestFit="1" customWidth="1"/>
    <col min="6" max="7" width="14.44140625" style="1" bestFit="1" customWidth="1"/>
    <col min="8" max="8" width="18.5546875" style="2" bestFit="1" customWidth="1"/>
    <col min="9" max="9" width="14.44140625" style="1" bestFit="1" customWidth="1"/>
    <col min="10" max="11" width="8.88671875" style="1"/>
    <col min="12" max="12" width="15.33203125" style="1" customWidth="1"/>
    <col min="13" max="13" width="2.5546875" style="1" customWidth="1"/>
    <col min="14" max="15" width="8.88671875" style="1"/>
    <col min="16" max="16" width="14.6640625" style="1" customWidth="1"/>
    <col min="17" max="19" width="8.88671875" style="1"/>
    <col min="20" max="20" width="15.21875" style="1" customWidth="1"/>
    <col min="21" max="16384" width="8.88671875" style="1"/>
  </cols>
  <sheetData>
    <row r="1" spans="1:16">
      <c r="A1" s="103"/>
      <c r="B1" s="495"/>
      <c r="C1" s="103"/>
      <c r="D1" s="103"/>
      <c r="E1" s="103"/>
      <c r="F1" s="103"/>
      <c r="G1" s="103"/>
      <c r="H1" s="358"/>
      <c r="I1" s="103"/>
      <c r="J1" s="103"/>
      <c r="K1" s="103"/>
      <c r="L1" s="103"/>
      <c r="M1" s="103"/>
      <c r="N1" s="103"/>
      <c r="O1" s="103"/>
      <c r="P1" s="103"/>
    </row>
    <row r="2" spans="1:16">
      <c r="A2" s="103"/>
      <c r="B2" s="495"/>
      <c r="C2" s="103"/>
      <c r="D2" s="103"/>
      <c r="E2" s="103"/>
      <c r="F2" s="103"/>
      <c r="G2" s="103"/>
      <c r="H2" s="358"/>
      <c r="I2" s="103"/>
      <c r="J2" s="103"/>
      <c r="K2" s="103"/>
      <c r="L2" s="103"/>
      <c r="M2" s="103"/>
      <c r="N2" s="103"/>
      <c r="O2" s="103"/>
      <c r="P2" s="103"/>
    </row>
    <row r="3" spans="1:16">
      <c r="A3" s="103"/>
      <c r="B3" s="495"/>
      <c r="C3" s="103"/>
      <c r="D3" s="103"/>
      <c r="E3" s="103"/>
      <c r="F3" s="103"/>
      <c r="G3" s="103"/>
      <c r="H3" s="358"/>
      <c r="I3" s="103"/>
      <c r="J3" s="103"/>
      <c r="K3" s="103"/>
      <c r="L3" s="103"/>
      <c r="M3" s="103"/>
      <c r="N3" s="103"/>
      <c r="O3" s="103"/>
      <c r="P3" s="103"/>
    </row>
    <row r="4" spans="1:16">
      <c r="A4" s="103"/>
      <c r="B4" s="495"/>
      <c r="C4" s="103"/>
      <c r="D4" s="103"/>
      <c r="E4" s="103"/>
      <c r="F4" s="103"/>
      <c r="G4" s="103"/>
      <c r="H4" s="358"/>
      <c r="I4" s="103"/>
      <c r="J4" s="103"/>
      <c r="K4" s="103"/>
      <c r="L4" s="103"/>
      <c r="M4" s="103"/>
      <c r="N4" s="103"/>
      <c r="O4" s="103"/>
      <c r="P4" s="103"/>
    </row>
    <row r="5" spans="1:16">
      <c r="A5" s="103"/>
      <c r="B5" s="495"/>
      <c r="C5" s="103"/>
      <c r="D5" s="103"/>
      <c r="E5" s="103"/>
      <c r="F5" s="103"/>
      <c r="G5" s="103"/>
      <c r="H5" s="358"/>
      <c r="I5" s="103"/>
      <c r="J5" s="103"/>
      <c r="K5" s="103"/>
      <c r="L5" s="103"/>
      <c r="M5" s="103"/>
      <c r="N5" s="103"/>
      <c r="O5" s="103"/>
      <c r="P5" s="103"/>
    </row>
    <row r="6" spans="1:16">
      <c r="A6" s="103"/>
      <c r="B6" s="495"/>
      <c r="C6" s="103"/>
      <c r="D6" s="103"/>
      <c r="E6" s="103"/>
      <c r="F6" s="103"/>
      <c r="G6" s="103"/>
      <c r="H6" s="358"/>
      <c r="I6" s="103"/>
      <c r="J6" s="103"/>
      <c r="K6" s="103"/>
      <c r="L6" s="103"/>
      <c r="M6" s="103"/>
      <c r="N6" s="103"/>
      <c r="O6" s="103"/>
      <c r="P6" s="103"/>
    </row>
    <row r="7" spans="1:16">
      <c r="A7" s="103"/>
      <c r="B7" s="495"/>
      <c r="C7" s="103"/>
      <c r="D7" s="103"/>
      <c r="E7" s="103"/>
      <c r="F7" s="103"/>
      <c r="G7" s="103"/>
      <c r="H7" s="358"/>
      <c r="I7" s="103"/>
      <c r="J7" s="103"/>
      <c r="K7" s="103"/>
      <c r="L7" s="103"/>
      <c r="M7" s="103"/>
      <c r="N7" s="103"/>
      <c r="O7" s="103"/>
      <c r="P7" s="103"/>
    </row>
    <row r="8" spans="1:16">
      <c r="A8" s="103"/>
      <c r="B8" s="445" t="s">
        <v>762</v>
      </c>
      <c r="C8" s="306"/>
      <c r="D8" s="103"/>
      <c r="E8" s="103"/>
      <c r="F8" s="103"/>
      <c r="G8" s="103"/>
      <c r="H8" s="358"/>
      <c r="I8" s="103"/>
      <c r="J8" s="103"/>
      <c r="K8" s="103"/>
      <c r="L8" s="103"/>
      <c r="M8" s="103"/>
      <c r="N8" s="103"/>
      <c r="O8" s="103"/>
      <c r="P8" s="103"/>
    </row>
    <row r="9" spans="1:16">
      <c r="A9" s="103"/>
      <c r="B9" s="495"/>
      <c r="C9" s="103"/>
      <c r="D9" s="103"/>
      <c r="E9" s="103"/>
      <c r="F9" s="103"/>
      <c r="G9" s="103"/>
      <c r="H9" s="358"/>
      <c r="I9" s="103"/>
      <c r="J9" s="103"/>
      <c r="K9" s="103"/>
      <c r="L9" s="103"/>
      <c r="M9" s="103"/>
      <c r="N9" s="103"/>
      <c r="O9" s="103"/>
      <c r="P9" s="103"/>
    </row>
    <row r="10" spans="1:16">
      <c r="A10" s="103"/>
      <c r="B10" s="497" t="s">
        <v>729</v>
      </c>
      <c r="C10" s="498"/>
      <c r="D10" s="498"/>
      <c r="E10" s="498"/>
      <c r="F10" s="499"/>
      <c r="G10" s="499"/>
      <c r="H10" s="499"/>
      <c r="I10" s="499"/>
      <c r="J10" s="103"/>
      <c r="K10" s="103"/>
      <c r="L10" s="103"/>
      <c r="M10" s="103"/>
      <c r="N10" s="103"/>
      <c r="O10" s="103"/>
      <c r="P10" s="103"/>
    </row>
    <row r="11" spans="1:16">
      <c r="A11" s="103"/>
      <c r="B11" s="500"/>
      <c r="C11" s="501" t="s">
        <v>732</v>
      </c>
      <c r="D11" s="502" t="s">
        <v>20</v>
      </c>
      <c r="E11" s="503" t="s">
        <v>445</v>
      </c>
      <c r="F11" s="502" t="s">
        <v>740</v>
      </c>
      <c r="G11" s="503" t="s">
        <v>741</v>
      </c>
      <c r="H11" s="501" t="s">
        <v>738</v>
      </c>
      <c r="I11" s="501" t="s">
        <v>739</v>
      </c>
      <c r="J11" s="103"/>
      <c r="K11" s="103"/>
      <c r="L11" s="103"/>
      <c r="M11" s="103"/>
      <c r="N11" s="103"/>
      <c r="O11" s="103"/>
      <c r="P11" s="103"/>
    </row>
    <row r="12" spans="1:16">
      <c r="A12" s="103"/>
      <c r="B12" s="500" t="s">
        <v>731</v>
      </c>
      <c r="C12" s="501"/>
      <c r="D12" s="501"/>
      <c r="E12" s="501"/>
      <c r="F12" s="103"/>
      <c r="G12" s="103"/>
      <c r="H12" s="501"/>
      <c r="I12" s="103"/>
      <c r="J12" s="103"/>
      <c r="K12" s="103"/>
      <c r="L12" s="103"/>
      <c r="M12" s="103"/>
      <c r="N12" s="103"/>
      <c r="O12" s="103"/>
      <c r="P12" s="103"/>
    </row>
    <row r="13" spans="1:16">
      <c r="A13" s="103"/>
      <c r="B13" s="504" t="s">
        <v>742</v>
      </c>
      <c r="C13" s="505">
        <v>25</v>
      </c>
      <c r="D13" s="506">
        <v>30050</v>
      </c>
      <c r="E13" s="507"/>
      <c r="F13" s="508">
        <f>$C13*D13</f>
        <v>751250</v>
      </c>
      <c r="G13" s="508">
        <f>$C13*E13</f>
        <v>0</v>
      </c>
      <c r="H13" s="509">
        <f>SUM(D13:E13)</f>
        <v>30050</v>
      </c>
      <c r="I13" s="508">
        <f>SUM(F13:G13)</f>
        <v>751250</v>
      </c>
      <c r="J13" s="103"/>
      <c r="K13" s="103"/>
      <c r="L13" s="103"/>
      <c r="M13" s="103"/>
      <c r="N13" s="103"/>
      <c r="O13" s="103"/>
      <c r="P13" s="103"/>
    </row>
    <row r="14" spans="1:16">
      <c r="A14" s="103"/>
      <c r="B14" s="504" t="s">
        <v>733</v>
      </c>
      <c r="C14" s="505">
        <v>25</v>
      </c>
      <c r="D14" s="507">
        <v>13500</v>
      </c>
      <c r="E14" s="507"/>
      <c r="F14" s="508">
        <f t="shared" ref="F14:F19" si="0">$C14*D14</f>
        <v>337500</v>
      </c>
      <c r="G14" s="508">
        <f t="shared" ref="G14:G18" si="1">$C14*E14</f>
        <v>0</v>
      </c>
      <c r="H14" s="509">
        <f t="shared" ref="H14:H18" si="2">SUM(D14:E14)</f>
        <v>13500</v>
      </c>
      <c r="I14" s="508">
        <f t="shared" ref="I14:I18" si="3">SUM(F14:G14)</f>
        <v>337500</v>
      </c>
      <c r="J14" s="103"/>
      <c r="K14" s="103"/>
      <c r="L14" s="103"/>
      <c r="M14" s="103"/>
      <c r="N14" s="103"/>
      <c r="O14" s="103"/>
      <c r="P14" s="103"/>
    </row>
    <row r="15" spans="1:16">
      <c r="A15" s="103"/>
      <c r="B15" s="504" t="s">
        <v>734</v>
      </c>
      <c r="C15" s="505">
        <v>25</v>
      </c>
      <c r="D15" s="507">
        <v>15400</v>
      </c>
      <c r="E15" s="507"/>
      <c r="F15" s="508">
        <f t="shared" si="0"/>
        <v>385000</v>
      </c>
      <c r="G15" s="508">
        <f t="shared" si="1"/>
        <v>0</v>
      </c>
      <c r="H15" s="509">
        <f t="shared" si="2"/>
        <v>15400</v>
      </c>
      <c r="I15" s="508">
        <f t="shared" si="3"/>
        <v>385000</v>
      </c>
      <c r="J15" s="103"/>
      <c r="K15" s="103"/>
      <c r="L15" s="103"/>
      <c r="M15" s="103"/>
      <c r="N15" s="103"/>
      <c r="O15" s="103"/>
      <c r="P15" s="103"/>
    </row>
    <row r="16" spans="1:16">
      <c r="A16" s="103"/>
      <c r="B16" s="504" t="s">
        <v>735</v>
      </c>
      <c r="C16" s="505">
        <v>30</v>
      </c>
      <c r="D16" s="507">
        <v>48250</v>
      </c>
      <c r="E16" s="507"/>
      <c r="F16" s="508">
        <f t="shared" si="0"/>
        <v>1447500</v>
      </c>
      <c r="G16" s="508">
        <f t="shared" si="1"/>
        <v>0</v>
      </c>
      <c r="H16" s="509">
        <f t="shared" si="2"/>
        <v>48250</v>
      </c>
      <c r="I16" s="508">
        <f t="shared" si="3"/>
        <v>1447500</v>
      </c>
      <c r="J16" s="103"/>
      <c r="K16" s="103"/>
      <c r="L16" s="103"/>
      <c r="M16" s="103"/>
      <c r="N16" s="103"/>
      <c r="O16" s="103"/>
      <c r="P16" s="103"/>
    </row>
    <row r="17" spans="1:16">
      <c r="A17" s="103"/>
      <c r="B17" s="504" t="s">
        <v>736</v>
      </c>
      <c r="C17" s="505">
        <v>25</v>
      </c>
      <c r="D17" s="507"/>
      <c r="E17" s="507">
        <v>29580</v>
      </c>
      <c r="F17" s="508">
        <f t="shared" si="0"/>
        <v>0</v>
      </c>
      <c r="G17" s="508">
        <f t="shared" si="1"/>
        <v>739500</v>
      </c>
      <c r="H17" s="509">
        <f t="shared" si="2"/>
        <v>29580</v>
      </c>
      <c r="I17" s="508">
        <f t="shared" si="3"/>
        <v>739500</v>
      </c>
      <c r="J17" s="103"/>
      <c r="K17" s="103"/>
      <c r="L17" s="103"/>
      <c r="M17" s="103"/>
      <c r="N17" s="103"/>
      <c r="O17" s="103"/>
      <c r="P17" s="103"/>
    </row>
    <row r="18" spans="1:16">
      <c r="A18" s="103"/>
      <c r="B18" s="504" t="s">
        <v>737</v>
      </c>
      <c r="C18" s="505">
        <v>25</v>
      </c>
      <c r="D18" s="507"/>
      <c r="E18" s="507">
        <v>34150</v>
      </c>
      <c r="F18" s="508">
        <f t="shared" si="0"/>
        <v>0</v>
      </c>
      <c r="G18" s="508">
        <f t="shared" si="1"/>
        <v>853750</v>
      </c>
      <c r="H18" s="509">
        <f t="shared" si="2"/>
        <v>34150</v>
      </c>
      <c r="I18" s="508">
        <f t="shared" si="3"/>
        <v>853750</v>
      </c>
      <c r="J18" s="103"/>
      <c r="K18" s="103"/>
      <c r="L18" s="103"/>
      <c r="M18" s="103"/>
      <c r="N18" s="103"/>
      <c r="O18" s="103"/>
      <c r="P18" s="103"/>
    </row>
    <row r="19" spans="1:16">
      <c r="A19" s="103"/>
      <c r="B19" s="504" t="s">
        <v>744</v>
      </c>
      <c r="C19" s="505">
        <v>25</v>
      </c>
      <c r="D19" s="507"/>
      <c r="E19" s="507">
        <v>13950</v>
      </c>
      <c r="F19" s="508">
        <f t="shared" si="0"/>
        <v>0</v>
      </c>
      <c r="G19" s="508">
        <f t="shared" ref="G19" si="4">$C19*E19</f>
        <v>348750</v>
      </c>
      <c r="H19" s="509">
        <f t="shared" ref="H19" si="5">SUM(D19:E19)</f>
        <v>13950</v>
      </c>
      <c r="I19" s="508">
        <f t="shared" ref="I19" si="6">SUM(F19:G19)</f>
        <v>348750</v>
      </c>
      <c r="J19" s="103"/>
      <c r="K19" s="103"/>
      <c r="L19" s="103"/>
      <c r="M19" s="103"/>
      <c r="N19" s="103"/>
      <c r="O19" s="103"/>
      <c r="P19" s="103"/>
    </row>
    <row r="20" spans="1:16">
      <c r="A20" s="103"/>
      <c r="B20" s="504"/>
      <c r="C20" s="505"/>
      <c r="D20" s="507"/>
      <c r="E20" s="507"/>
      <c r="F20" s="508"/>
      <c r="G20" s="508"/>
      <c r="H20" s="509"/>
      <c r="I20" s="508"/>
      <c r="J20" s="103"/>
      <c r="K20" s="103"/>
      <c r="L20" s="103"/>
      <c r="M20" s="103"/>
      <c r="N20" s="103"/>
      <c r="O20" s="103"/>
      <c r="P20" s="103"/>
    </row>
    <row r="21" spans="1:16">
      <c r="A21" s="103"/>
      <c r="B21" s="500" t="s">
        <v>757</v>
      </c>
      <c r="C21" s="505">
        <v>65</v>
      </c>
      <c r="D21" s="510">
        <v>2070</v>
      </c>
      <c r="E21" s="510">
        <v>2375</v>
      </c>
      <c r="F21" s="508">
        <f t="shared" ref="F21:G21" si="7">$C21*D21</f>
        <v>134550</v>
      </c>
      <c r="G21" s="508">
        <f t="shared" si="7"/>
        <v>154375</v>
      </c>
      <c r="H21" s="509">
        <f>SUM(D21:E21)</f>
        <v>4445</v>
      </c>
      <c r="I21" s="508">
        <f t="shared" ref="I21" si="8">SUM(F21:G21)</f>
        <v>288925</v>
      </c>
      <c r="J21" s="103"/>
      <c r="K21" s="103"/>
      <c r="L21" s="103"/>
      <c r="M21" s="103"/>
      <c r="N21" s="103"/>
      <c r="O21" s="103"/>
      <c r="P21" s="103"/>
    </row>
    <row r="22" spans="1:16">
      <c r="A22" s="103"/>
      <c r="B22" s="504"/>
      <c r="C22" s="505"/>
      <c r="D22" s="507"/>
      <c r="E22" s="507"/>
      <c r="F22" s="103"/>
      <c r="G22" s="103"/>
      <c r="H22" s="509"/>
      <c r="I22" s="103"/>
      <c r="J22" s="103"/>
      <c r="K22" s="103"/>
      <c r="L22" s="103"/>
      <c r="M22" s="103"/>
      <c r="N22" s="103"/>
      <c r="O22" s="103"/>
      <c r="P22" s="103"/>
    </row>
    <row r="23" spans="1:16">
      <c r="A23" s="103"/>
      <c r="B23" s="500" t="s">
        <v>746</v>
      </c>
      <c r="C23" s="511">
        <v>100000</v>
      </c>
      <c r="D23" s="512">
        <v>7</v>
      </c>
      <c r="E23" s="512">
        <v>5</v>
      </c>
      <c r="F23" s="508">
        <f t="shared" ref="F23:G23" si="9">$C23*D23</f>
        <v>700000</v>
      </c>
      <c r="G23" s="508">
        <f t="shared" si="9"/>
        <v>500000</v>
      </c>
      <c r="H23" s="513">
        <f>SUM(D23:E23)</f>
        <v>12</v>
      </c>
      <c r="I23" s="508">
        <f t="shared" ref="I23" si="10">SUM(F23:G23)</f>
        <v>1200000</v>
      </c>
      <c r="J23" s="103"/>
      <c r="K23" s="103"/>
      <c r="L23" s="103"/>
      <c r="M23" s="103"/>
      <c r="N23" s="103"/>
      <c r="O23" s="103"/>
      <c r="P23" s="103"/>
    </row>
    <row r="24" spans="1:16">
      <c r="A24" s="103"/>
      <c r="B24" s="500"/>
      <c r="C24" s="511"/>
      <c r="D24" s="512"/>
      <c r="E24" s="512"/>
      <c r="F24" s="508"/>
      <c r="G24" s="508"/>
      <c r="H24" s="513"/>
      <c r="I24" s="508"/>
      <c r="J24" s="103"/>
      <c r="K24" s="103"/>
      <c r="L24" s="103"/>
      <c r="M24" s="103"/>
      <c r="N24" s="103"/>
      <c r="O24" s="103"/>
      <c r="P24" s="103"/>
    </row>
    <row r="25" spans="1:16">
      <c r="A25" s="103"/>
      <c r="B25" s="500" t="s">
        <v>49</v>
      </c>
      <c r="C25" s="505">
        <v>10</v>
      </c>
      <c r="D25" s="514">
        <f>SUMIFS(Parcels!$N:$N,Parcels!$L:$L,"Demo",Parcels!$K:$K,D$11)</f>
        <v>92466.4</v>
      </c>
      <c r="E25" s="514">
        <f>SUMIFS(Parcels!$N:$N,Parcels!$L:$L,"Demo",Parcels!$K:$K,E$11)</f>
        <v>97089</v>
      </c>
      <c r="F25" s="508">
        <f>$C25*D25</f>
        <v>924664</v>
      </c>
      <c r="G25" s="508">
        <f>$C25*E25</f>
        <v>970890</v>
      </c>
      <c r="H25" s="509">
        <f>SUM(D25:E25)</f>
        <v>189555.4</v>
      </c>
      <c r="I25" s="508">
        <f t="shared" ref="I25" si="11">SUM(F25:G25)</f>
        <v>1895554</v>
      </c>
      <c r="J25" s="103"/>
      <c r="K25" s="103"/>
      <c r="L25" s="103"/>
      <c r="M25" s="103"/>
      <c r="N25" s="103"/>
      <c r="O25" s="103"/>
      <c r="P25" s="103"/>
    </row>
    <row r="26" spans="1:16">
      <c r="A26" s="103"/>
      <c r="B26" s="500"/>
      <c r="C26" s="505"/>
      <c r="D26" s="514"/>
      <c r="E26" s="514"/>
      <c r="F26" s="508"/>
      <c r="G26" s="508"/>
      <c r="H26" s="509"/>
      <c r="I26" s="508"/>
      <c r="J26" s="103"/>
      <c r="K26" s="103"/>
      <c r="L26" s="103"/>
      <c r="M26" s="103"/>
      <c r="N26" s="103"/>
      <c r="O26" s="103"/>
      <c r="P26" s="103"/>
    </row>
    <row r="27" spans="1:16">
      <c r="A27" s="103"/>
      <c r="B27" s="500" t="s">
        <v>752</v>
      </c>
      <c r="C27" s="505">
        <v>200</v>
      </c>
      <c r="D27" s="514">
        <f>D21</f>
        <v>2070</v>
      </c>
      <c r="E27" s="514">
        <f>E21</f>
        <v>2375</v>
      </c>
      <c r="F27" s="508">
        <f>$C27*D27</f>
        <v>414000</v>
      </c>
      <c r="G27" s="508">
        <f>$C27*E27</f>
        <v>475000</v>
      </c>
      <c r="H27" s="509">
        <f>SUM(D27:E27)</f>
        <v>4445</v>
      </c>
      <c r="I27" s="508">
        <f t="shared" ref="I27" si="12">SUM(F27:G27)</f>
        <v>889000</v>
      </c>
      <c r="J27" s="103"/>
      <c r="K27" s="103"/>
      <c r="L27" s="103"/>
      <c r="M27" s="103"/>
      <c r="N27" s="103"/>
      <c r="O27" s="103"/>
      <c r="P27" s="103"/>
    </row>
    <row r="28" spans="1:16">
      <c r="A28" s="103"/>
      <c r="B28" s="500"/>
      <c r="C28" s="505"/>
      <c r="D28" s="514"/>
      <c r="E28" s="514"/>
      <c r="F28" s="508"/>
      <c r="G28" s="508"/>
      <c r="H28" s="509"/>
      <c r="I28" s="508"/>
      <c r="J28" s="103"/>
      <c r="K28" s="103"/>
      <c r="L28" s="103"/>
      <c r="M28" s="103"/>
      <c r="N28" s="103"/>
      <c r="O28" s="103"/>
      <c r="P28" s="103"/>
    </row>
    <row r="29" spans="1:16">
      <c r="A29" s="103"/>
      <c r="B29" s="515"/>
      <c r="C29" s="516" t="s">
        <v>753</v>
      </c>
      <c r="D29" s="516" t="s">
        <v>754</v>
      </c>
      <c r="E29" s="516" t="s">
        <v>754</v>
      </c>
      <c r="F29" s="516" t="str">
        <f>F$11</f>
        <v>Phase I ($)</v>
      </c>
      <c r="G29" s="516" t="str">
        <f>G$11</f>
        <v>Phase II ($)</v>
      </c>
      <c r="H29" s="516" t="s">
        <v>751</v>
      </c>
      <c r="I29" s="516" t="str">
        <f>I$11</f>
        <v>Total Cost</v>
      </c>
      <c r="J29" s="103"/>
      <c r="K29" s="103"/>
      <c r="L29" s="103"/>
      <c r="M29" s="103"/>
      <c r="N29" s="103"/>
      <c r="O29" s="103"/>
      <c r="P29" s="103"/>
    </row>
    <row r="30" spans="1:16">
      <c r="A30" s="103"/>
      <c r="B30" s="500" t="s">
        <v>745</v>
      </c>
      <c r="C30" s="505">
        <v>13333</v>
      </c>
      <c r="D30" s="517">
        <f ca="1">'Phase I - CF MF Market Rental'!$G$12+'Phase I - CF Affordable Rental'!$G$12</f>
        <v>534</v>
      </c>
      <c r="E30" s="518">
        <f>'Phase II - CF MF Market Rental'!$G$12+'Phase II - CF Affordable Rental'!$G$12</f>
        <v>750.08022664500004</v>
      </c>
      <c r="F30" s="508">
        <f t="shared" ref="F30" ca="1" si="13">$C30*D30</f>
        <v>7119822</v>
      </c>
      <c r="G30" s="508">
        <f t="shared" ref="G30" si="14">$C30*E30</f>
        <v>10000819.661857786</v>
      </c>
      <c r="H30" s="519">
        <f ca="1">SUM(D30:E30)</f>
        <v>1284.080226645</v>
      </c>
      <c r="I30" s="508">
        <f t="shared" ref="I30" ca="1" si="15">SUM(F30:G30)</f>
        <v>17120641.661857784</v>
      </c>
      <c r="J30" s="103"/>
      <c r="K30" s="103"/>
      <c r="L30" s="103"/>
      <c r="M30" s="103"/>
      <c r="N30" s="103"/>
      <c r="O30" s="103"/>
      <c r="P30" s="103"/>
    </row>
    <row r="31" spans="1:16">
      <c r="A31" s="103"/>
      <c r="B31" s="500"/>
      <c r="C31" s="505"/>
      <c r="D31" s="514"/>
      <c r="E31" s="514"/>
      <c r="F31" s="508"/>
      <c r="G31" s="508"/>
      <c r="H31" s="509"/>
      <c r="I31" s="508"/>
      <c r="J31" s="103"/>
      <c r="K31" s="103"/>
      <c r="L31" s="103"/>
      <c r="M31" s="103"/>
      <c r="N31" s="103"/>
      <c r="O31" s="103"/>
      <c r="P31" s="103"/>
    </row>
    <row r="32" spans="1:16">
      <c r="A32" s="103"/>
      <c r="B32" s="500"/>
      <c r="C32" s="520" t="s">
        <v>748</v>
      </c>
      <c r="D32" s="516" t="s">
        <v>749</v>
      </c>
      <c r="E32" s="516" t="s">
        <v>749</v>
      </c>
      <c r="F32" s="516" t="str">
        <f>F$11</f>
        <v>Phase I ($)</v>
      </c>
      <c r="G32" s="516" t="str">
        <f>G$11</f>
        <v>Phase II ($)</v>
      </c>
      <c r="H32" s="516" t="s">
        <v>751</v>
      </c>
      <c r="I32" s="516" t="str">
        <f>I$11</f>
        <v>Total Cost</v>
      </c>
      <c r="J32" s="103"/>
      <c r="K32" s="103"/>
      <c r="L32" s="103"/>
      <c r="M32" s="103"/>
      <c r="N32" s="103"/>
      <c r="O32" s="103"/>
      <c r="P32" s="103"/>
    </row>
    <row r="33" spans="1:16">
      <c r="A33" s="103"/>
      <c r="B33" s="500" t="s">
        <v>747</v>
      </c>
      <c r="C33" s="505">
        <v>10000</v>
      </c>
      <c r="D33" s="518">
        <f ca="1">'Phase I - CF MF Market Rental'!G20</f>
        <v>274</v>
      </c>
      <c r="E33" s="518">
        <f>'Phase II - CF MF Market Rental'!G20</f>
        <v>384.72015109666671</v>
      </c>
      <c r="F33" s="508">
        <f t="shared" ref="F33" ca="1" si="16">$C33*D33</f>
        <v>2740000</v>
      </c>
      <c r="G33" s="508">
        <f t="shared" ref="G33" si="17">$C33*E33</f>
        <v>3847201.510966667</v>
      </c>
      <c r="H33" s="509">
        <f ca="1">SUM(D33:E33)</f>
        <v>658.72015109666677</v>
      </c>
      <c r="I33" s="508">
        <f t="shared" ref="I33" ca="1" si="18">SUM(F33:G33)</f>
        <v>6587201.510966667</v>
      </c>
      <c r="J33" s="103"/>
      <c r="K33" s="103"/>
      <c r="L33" s="103"/>
      <c r="M33" s="103"/>
      <c r="N33" s="103"/>
      <c r="O33" s="103"/>
      <c r="P33" s="103"/>
    </row>
    <row r="34" spans="1:16">
      <c r="A34" s="103"/>
      <c r="B34" s="500"/>
      <c r="C34" s="505"/>
      <c r="D34" s="518"/>
      <c r="E34" s="518"/>
      <c r="F34" s="508"/>
      <c r="G34" s="508"/>
      <c r="H34" s="509"/>
      <c r="I34" s="508"/>
      <c r="J34" s="103"/>
      <c r="K34" s="103"/>
      <c r="L34" s="103"/>
      <c r="M34" s="103"/>
      <c r="N34" s="103"/>
      <c r="O34" s="103"/>
      <c r="P34" s="103"/>
    </row>
    <row r="35" spans="1:16">
      <c r="A35" s="103"/>
      <c r="B35" s="521" t="s">
        <v>743</v>
      </c>
      <c r="C35" s="496"/>
      <c r="D35" s="496"/>
      <c r="E35" s="426"/>
      <c r="F35" s="426">
        <f ca="1">SUM(F13:F33)</f>
        <v>14954286</v>
      </c>
      <c r="G35" s="426">
        <f>SUM(G13:G33)</f>
        <v>17890286.172824454</v>
      </c>
      <c r="H35" s="427"/>
      <c r="I35" s="426">
        <f ca="1">SUM(I13:I33)</f>
        <v>32844572.17282445</v>
      </c>
      <c r="J35" s="103"/>
      <c r="K35" s="103"/>
      <c r="L35" s="103"/>
      <c r="M35" s="103"/>
      <c r="N35" s="103"/>
      <c r="O35" s="103"/>
      <c r="P35" s="103"/>
    </row>
    <row r="36" spans="1:16">
      <c r="A36" s="103"/>
      <c r="B36" s="103"/>
      <c r="C36" s="103"/>
      <c r="D36" s="103"/>
      <c r="E36" s="103"/>
      <c r="F36" s="103"/>
      <c r="G36" s="103"/>
      <c r="H36" s="358"/>
      <c r="I36" s="105"/>
      <c r="J36" s="103"/>
      <c r="K36" s="103"/>
      <c r="L36" s="103"/>
      <c r="M36" s="103"/>
      <c r="N36" s="103"/>
      <c r="O36" s="103"/>
      <c r="P36" s="103"/>
    </row>
    <row r="37" spans="1:16">
      <c r="A37" s="103"/>
      <c r="B37" s="522" t="s">
        <v>761</v>
      </c>
      <c r="C37" s="523"/>
      <c r="D37" s="524">
        <f t="shared" ref="D37:I37" si="19">SUM(D13:D19)</f>
        <v>107200</v>
      </c>
      <c r="E37" s="524">
        <f t="shared" si="19"/>
        <v>77680</v>
      </c>
      <c r="F37" s="525">
        <f t="shared" si="19"/>
        <v>2921250</v>
      </c>
      <c r="G37" s="525">
        <f t="shared" si="19"/>
        <v>1942000</v>
      </c>
      <c r="H37" s="526">
        <f t="shared" si="19"/>
        <v>184880</v>
      </c>
      <c r="I37" s="525">
        <f t="shared" si="19"/>
        <v>4863250</v>
      </c>
      <c r="J37" s="527"/>
      <c r="K37" s="422"/>
      <c r="L37" s="361"/>
      <c r="M37" s="103"/>
      <c r="N37" s="527"/>
      <c r="O37" s="422"/>
      <c r="P37" s="361"/>
    </row>
    <row r="38" spans="1:16">
      <c r="A38" s="103"/>
      <c r="B38" s="103"/>
      <c r="C38" s="103"/>
      <c r="D38" s="103"/>
      <c r="E38" s="105"/>
      <c r="F38" s="103"/>
      <c r="G38" s="105"/>
      <c r="H38" s="358"/>
      <c r="I38" s="103"/>
      <c r="J38" s="103"/>
      <c r="K38" s="103"/>
      <c r="L38" s="105"/>
      <c r="M38" s="103"/>
      <c r="N38" s="103"/>
      <c r="O38" s="103"/>
      <c r="P38" s="105"/>
    </row>
    <row r="39" spans="1:16">
      <c r="A39" s="103"/>
      <c r="B39" s="103"/>
      <c r="C39" s="103"/>
      <c r="D39" s="103"/>
      <c r="E39" s="105"/>
      <c r="F39" s="103"/>
      <c r="G39" s="105"/>
      <c r="H39" s="358"/>
      <c r="I39" s="103"/>
      <c r="J39" s="103"/>
      <c r="K39" s="103"/>
      <c r="L39" s="105"/>
      <c r="M39" s="103"/>
      <c r="N39" s="103"/>
      <c r="O39" s="103"/>
      <c r="P39" s="105"/>
    </row>
    <row r="40" spans="1:16">
      <c r="A40" s="103"/>
      <c r="B40" s="103"/>
      <c r="C40" s="103"/>
      <c r="D40" s="103"/>
      <c r="E40" s="105"/>
      <c r="F40" s="103"/>
      <c r="G40" s="105"/>
      <c r="H40" s="358"/>
      <c r="I40" s="103"/>
      <c r="J40" s="103"/>
      <c r="K40" s="103"/>
      <c r="L40" s="105"/>
      <c r="M40" s="103"/>
      <c r="N40" s="103"/>
      <c r="O40" s="103"/>
      <c r="P40" s="105"/>
    </row>
    <row r="41" spans="1:16">
      <c r="A41" s="103"/>
      <c r="B41" s="103"/>
      <c r="C41" s="103"/>
      <c r="D41" s="103"/>
      <c r="E41" s="105"/>
      <c r="F41" s="103"/>
      <c r="G41" s="105"/>
      <c r="H41" s="358"/>
      <c r="I41" s="103"/>
      <c r="J41" s="103"/>
      <c r="K41" s="103"/>
      <c r="L41" s="105"/>
      <c r="M41" s="103"/>
      <c r="N41" s="103"/>
      <c r="O41" s="103"/>
      <c r="P41" s="105"/>
    </row>
    <row r="42" spans="1:16">
      <c r="A42" s="103"/>
      <c r="B42" s="103"/>
      <c r="C42" s="103"/>
      <c r="D42" s="103"/>
      <c r="E42" s="105"/>
      <c r="F42" s="103"/>
      <c r="G42" s="105"/>
      <c r="H42" s="358"/>
      <c r="I42" s="103"/>
      <c r="J42" s="103"/>
      <c r="K42" s="103"/>
      <c r="L42" s="105"/>
      <c r="M42" s="103"/>
      <c r="N42" s="103"/>
      <c r="O42" s="103"/>
      <c r="P42" s="105"/>
    </row>
    <row r="43" spans="1:16">
      <c r="A43" s="103"/>
      <c r="B43" s="103"/>
      <c r="C43" s="103"/>
      <c r="D43" s="103"/>
      <c r="E43" s="105"/>
      <c r="F43" s="103"/>
      <c r="G43" s="105"/>
      <c r="H43" s="358"/>
      <c r="I43" s="103"/>
      <c r="J43" s="103"/>
      <c r="K43" s="103"/>
      <c r="L43" s="105"/>
      <c r="M43" s="103"/>
      <c r="N43" s="103"/>
      <c r="O43" s="103"/>
      <c r="P43" s="105"/>
    </row>
    <row r="44" spans="1:16">
      <c r="A44" s="103"/>
      <c r="B44" s="103"/>
      <c r="C44" s="103"/>
      <c r="D44" s="103"/>
      <c r="E44" s="103"/>
      <c r="F44" s="103"/>
      <c r="G44" s="103"/>
      <c r="H44" s="358"/>
      <c r="I44" s="103"/>
      <c r="J44" s="103"/>
      <c r="K44" s="103"/>
      <c r="L44" s="103"/>
      <c r="M44" s="103"/>
      <c r="N44" s="103"/>
      <c r="O44" s="103"/>
      <c r="P44" s="103"/>
    </row>
    <row r="45" spans="1:16">
      <c r="A45" s="103"/>
      <c r="B45" s="528"/>
      <c r="C45" s="103"/>
      <c r="D45" s="103"/>
      <c r="E45" s="103"/>
      <c r="F45" s="103"/>
      <c r="G45" s="103"/>
      <c r="H45" s="358"/>
      <c r="I45" s="103"/>
      <c r="J45" s="103"/>
      <c r="K45" s="103"/>
      <c r="L45" s="103"/>
      <c r="M45" s="103"/>
      <c r="N45" s="103"/>
      <c r="O45" s="103"/>
      <c r="P45" s="103"/>
    </row>
    <row r="46" spans="1:16">
      <c r="A46" s="103"/>
      <c r="B46" s="103"/>
      <c r="C46" s="362"/>
      <c r="D46" s="358"/>
      <c r="E46" s="103"/>
      <c r="F46" s="103"/>
      <c r="G46" s="103"/>
      <c r="H46" s="358"/>
      <c r="I46" s="103"/>
      <c r="J46" s="103"/>
      <c r="K46" s="103"/>
      <c r="L46" s="103"/>
      <c r="M46" s="103"/>
      <c r="N46" s="103"/>
      <c r="O46" s="103"/>
      <c r="P46" s="103"/>
    </row>
    <row r="47" spans="1:16">
      <c r="A47" s="103"/>
      <c r="B47" s="103"/>
      <c r="C47" s="356"/>
      <c r="D47" s="103"/>
      <c r="E47" s="103"/>
      <c r="F47" s="103"/>
      <c r="G47" s="103"/>
      <c r="H47" s="358"/>
      <c r="I47" s="103"/>
      <c r="J47" s="103"/>
      <c r="K47" s="103"/>
      <c r="L47" s="103"/>
      <c r="M47" s="103"/>
      <c r="N47" s="103"/>
      <c r="O47" s="103"/>
      <c r="P47" s="103"/>
    </row>
    <row r="48" spans="1:16">
      <c r="A48" s="103"/>
      <c r="B48" s="103"/>
      <c r="C48" s="356"/>
      <c r="D48" s="103"/>
      <c r="E48" s="103"/>
      <c r="F48" s="103"/>
      <c r="G48" s="103"/>
      <c r="H48" s="358"/>
      <c r="I48" s="103"/>
      <c r="J48" s="103"/>
      <c r="K48" s="103"/>
      <c r="L48" s="103"/>
      <c r="M48" s="103"/>
      <c r="N48" s="103"/>
      <c r="O48" s="103"/>
      <c r="P48" s="103"/>
    </row>
    <row r="49" spans="1:16">
      <c r="A49" s="103"/>
      <c r="B49" s="103"/>
      <c r="C49" s="362"/>
      <c r="D49" s="103"/>
      <c r="E49" s="103"/>
      <c r="F49" s="103"/>
      <c r="G49" s="103"/>
      <c r="H49" s="358"/>
      <c r="I49" s="103"/>
      <c r="J49" s="103"/>
      <c r="K49" s="103"/>
      <c r="L49" s="103"/>
      <c r="M49" s="103"/>
      <c r="N49" s="103"/>
      <c r="O49" s="103"/>
      <c r="P49" s="103"/>
    </row>
    <row r="50" spans="1:16">
      <c r="A50" s="103"/>
      <c r="B50" s="103"/>
      <c r="C50" s="362"/>
      <c r="D50" s="103"/>
      <c r="E50" s="103"/>
      <c r="F50" s="103"/>
      <c r="G50" s="103"/>
      <c r="H50" s="358"/>
      <c r="I50" s="103"/>
      <c r="J50" s="103"/>
      <c r="K50" s="103"/>
      <c r="L50" s="103"/>
      <c r="M50" s="103"/>
      <c r="N50" s="103"/>
      <c r="O50" s="103"/>
      <c r="P50" s="103"/>
    </row>
    <row r="51" spans="1:16">
      <c r="A51" s="103"/>
      <c r="B51" s="103"/>
      <c r="C51" s="356"/>
      <c r="D51" s="103"/>
      <c r="E51" s="103"/>
      <c r="F51" s="103"/>
      <c r="G51" s="103"/>
      <c r="H51" s="358"/>
      <c r="I51" s="103"/>
      <c r="J51" s="103"/>
      <c r="K51" s="103"/>
      <c r="L51" s="103"/>
      <c r="M51" s="103"/>
      <c r="N51" s="103"/>
      <c r="O51" s="103"/>
      <c r="P51" s="103"/>
    </row>
    <row r="52" spans="1:16">
      <c r="A52" s="103"/>
      <c r="B52" s="103"/>
      <c r="C52" s="103"/>
      <c r="D52" s="103"/>
      <c r="E52" s="103"/>
      <c r="F52" s="103"/>
      <c r="G52" s="103"/>
      <c r="H52" s="358"/>
      <c r="I52" s="103"/>
      <c r="J52" s="103"/>
      <c r="K52" s="103"/>
      <c r="L52" s="103"/>
      <c r="M52" s="103"/>
      <c r="N52" s="103"/>
      <c r="O52" s="103"/>
      <c r="P52" s="103"/>
    </row>
    <row r="53" spans="1:16">
      <c r="A53" s="103"/>
      <c r="B53" s="528"/>
      <c r="C53" s="103"/>
      <c r="D53" s="103"/>
      <c r="E53" s="358"/>
      <c r="F53" s="529"/>
      <c r="G53" s="529"/>
      <c r="H53" s="530"/>
      <c r="I53" s="529"/>
      <c r="J53" s="103"/>
      <c r="K53" s="103"/>
      <c r="L53" s="103"/>
      <c r="M53" s="103"/>
      <c r="N53" s="103"/>
      <c r="O53" s="103"/>
      <c r="P53" s="103"/>
    </row>
    <row r="54" spans="1:16">
      <c r="A54" s="103"/>
      <c r="B54" s="103"/>
      <c r="C54" s="103"/>
      <c r="D54" s="103"/>
      <c r="E54" s="105"/>
      <c r="F54" s="103"/>
      <c r="G54" s="103"/>
      <c r="H54" s="358"/>
      <c r="I54" s="105"/>
      <c r="J54" s="103"/>
      <c r="K54" s="103"/>
      <c r="L54" s="103"/>
      <c r="M54" s="103"/>
      <c r="N54" s="103"/>
      <c r="O54" s="103"/>
      <c r="P54" s="103"/>
    </row>
    <row r="55" spans="1:16">
      <c r="A55" s="103"/>
      <c r="B55" s="103"/>
      <c r="C55" s="103"/>
      <c r="D55" s="103"/>
      <c r="E55" s="105"/>
      <c r="F55" s="103"/>
      <c r="G55" s="103"/>
      <c r="H55" s="358"/>
      <c r="I55" s="105"/>
      <c r="J55" s="103"/>
      <c r="K55" s="103"/>
      <c r="L55" s="103"/>
      <c r="M55" s="103"/>
      <c r="N55" s="103"/>
      <c r="O55" s="103"/>
      <c r="P55" s="103"/>
    </row>
    <row r="56" spans="1:16">
      <c r="A56" s="103"/>
      <c r="B56" s="103"/>
      <c r="C56" s="103"/>
      <c r="D56" s="103"/>
      <c r="E56" s="105"/>
      <c r="F56" s="103"/>
      <c r="G56" s="103"/>
      <c r="H56" s="358"/>
      <c r="I56" s="105"/>
      <c r="J56" s="103"/>
      <c r="K56" s="103"/>
      <c r="L56" s="103"/>
      <c r="M56" s="103"/>
      <c r="N56" s="103"/>
      <c r="O56" s="103"/>
      <c r="P56" s="103"/>
    </row>
    <row r="57" spans="1:16">
      <c r="A57" s="103"/>
      <c r="B57" s="103"/>
      <c r="C57" s="103"/>
      <c r="D57" s="103"/>
      <c r="E57" s="105"/>
      <c r="F57" s="103"/>
      <c r="G57" s="103"/>
      <c r="H57" s="358"/>
      <c r="I57" s="105"/>
      <c r="J57" s="103"/>
      <c r="K57" s="103"/>
      <c r="L57" s="103"/>
      <c r="M57" s="103"/>
      <c r="N57" s="103"/>
      <c r="O57" s="103"/>
      <c r="P57" s="103"/>
    </row>
    <row r="58" spans="1:16">
      <c r="A58" s="103"/>
      <c r="B58" s="103"/>
      <c r="C58" s="103"/>
      <c r="D58" s="103"/>
      <c r="E58" s="105"/>
      <c r="F58" s="103"/>
      <c r="G58" s="103"/>
      <c r="H58" s="358"/>
      <c r="I58" s="105"/>
      <c r="J58" s="103"/>
      <c r="K58" s="103"/>
      <c r="L58" s="103"/>
      <c r="M58" s="103"/>
      <c r="N58" s="103"/>
      <c r="O58" s="103"/>
      <c r="P58" s="103"/>
    </row>
    <row r="59" spans="1:16">
      <c r="A59" s="103"/>
      <c r="B59" s="103"/>
      <c r="C59" s="103"/>
      <c r="D59" s="103"/>
      <c r="E59" s="103"/>
      <c r="F59" s="103"/>
      <c r="G59" s="103"/>
      <c r="H59" s="358"/>
      <c r="I59" s="105"/>
      <c r="J59" s="103"/>
      <c r="K59" s="103"/>
      <c r="L59" s="103"/>
      <c r="M59" s="103"/>
      <c r="N59" s="103"/>
      <c r="O59" s="103"/>
      <c r="P59" s="103"/>
    </row>
    <row r="60" spans="1:16">
      <c r="A60" s="103"/>
      <c r="B60" s="528"/>
      <c r="C60" s="103"/>
      <c r="D60" s="103"/>
      <c r="E60" s="358"/>
      <c r="F60" s="103"/>
      <c r="G60" s="358"/>
      <c r="H60" s="531"/>
      <c r="I60" s="103"/>
      <c r="J60" s="528"/>
      <c r="K60" s="103"/>
      <c r="L60" s="358"/>
      <c r="M60" s="103"/>
      <c r="N60" s="528"/>
      <c r="O60" s="103"/>
      <c r="P60" s="358"/>
    </row>
    <row r="61" spans="1:16">
      <c r="A61" s="103"/>
      <c r="B61" s="103"/>
      <c r="C61" s="103"/>
      <c r="D61" s="103"/>
      <c r="E61" s="105"/>
      <c r="F61" s="103"/>
      <c r="G61" s="105"/>
      <c r="H61" s="358"/>
      <c r="I61" s="103"/>
      <c r="J61" s="103"/>
      <c r="K61" s="103"/>
      <c r="L61" s="105"/>
      <c r="M61" s="103"/>
      <c r="N61" s="103"/>
      <c r="O61" s="103"/>
      <c r="P61" s="105"/>
    </row>
    <row r="62" spans="1:16">
      <c r="A62" s="103"/>
      <c r="B62" s="103"/>
      <c r="C62" s="103"/>
      <c r="D62" s="103"/>
      <c r="E62" s="105"/>
      <c r="F62" s="103"/>
      <c r="G62" s="105"/>
      <c r="H62" s="358"/>
      <c r="I62" s="103"/>
      <c r="J62" s="103"/>
      <c r="K62" s="103"/>
      <c r="L62" s="105"/>
      <c r="M62" s="103"/>
      <c r="N62" s="103"/>
      <c r="O62" s="103"/>
      <c r="P62" s="105"/>
    </row>
    <row r="63" spans="1:16">
      <c r="A63" s="103"/>
      <c r="B63" s="103"/>
      <c r="C63" s="103"/>
      <c r="D63" s="103"/>
      <c r="E63" s="105"/>
      <c r="F63" s="103"/>
      <c r="G63" s="105"/>
      <c r="H63" s="358"/>
      <c r="I63" s="103"/>
      <c r="J63" s="103"/>
      <c r="K63" s="103"/>
      <c r="L63" s="105"/>
      <c r="M63" s="103"/>
      <c r="N63" s="103"/>
      <c r="O63" s="103"/>
      <c r="P63" s="105"/>
    </row>
    <row r="64" spans="1:16">
      <c r="A64" s="103"/>
      <c r="B64" s="103"/>
      <c r="C64" s="103"/>
      <c r="D64" s="103"/>
      <c r="E64" s="105"/>
      <c r="F64" s="103"/>
      <c r="G64" s="105"/>
      <c r="H64" s="358"/>
      <c r="I64" s="103"/>
      <c r="J64" s="103"/>
      <c r="K64" s="103"/>
      <c r="L64" s="105"/>
      <c r="M64" s="103"/>
      <c r="N64" s="103"/>
      <c r="O64" s="103"/>
      <c r="P64" s="105"/>
    </row>
    <row r="65" spans="1:16">
      <c r="A65" s="103"/>
      <c r="B65" s="103"/>
      <c r="C65" s="103"/>
      <c r="D65" s="103"/>
      <c r="E65" s="105"/>
      <c r="F65" s="103"/>
      <c r="G65" s="105"/>
      <c r="H65" s="358"/>
      <c r="I65" s="103"/>
      <c r="J65" s="103"/>
      <c r="K65" s="103"/>
      <c r="L65" s="105"/>
      <c r="M65" s="103"/>
      <c r="N65" s="103"/>
      <c r="O65" s="103"/>
      <c r="P65" s="105"/>
    </row>
    <row r="66" spans="1:16">
      <c r="A66" s="103"/>
      <c r="B66" s="103"/>
      <c r="C66" s="103"/>
      <c r="D66" s="103"/>
      <c r="E66" s="105"/>
      <c r="F66" s="103"/>
      <c r="G66" s="105"/>
      <c r="H66" s="358"/>
      <c r="I66" s="103"/>
      <c r="J66" s="103"/>
      <c r="K66" s="103"/>
      <c r="L66" s="105"/>
      <c r="M66" s="103"/>
      <c r="N66" s="103"/>
      <c r="O66" s="103"/>
      <c r="P66" s="105"/>
    </row>
  </sheetData>
  <printOptions horizontalCentered="1"/>
  <pageMargins left="0.7" right="0.7" top="0.75" bottom="0.75" header="0.3" footer="0.3"/>
  <pageSetup paperSize="3" fitToHeight="0" orientation="landscape" r:id="rId1"/>
  <headerFooter>
    <oddHeader xml:space="preserve">&amp;L2019 ULI Hines Student Competition&amp;R2019-331 &amp;A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4A6B-2EA1-4042-8390-1C5553AD2145}">
  <sheetPr>
    <tabColor rgb="FF92D050"/>
    <pageSetUpPr fitToPage="1"/>
  </sheetPr>
  <dimension ref="B1:Z62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18.33203125" customWidth="1"/>
    <col min="3" max="3" width="9" bestFit="1" customWidth="1"/>
    <col min="4" max="4" width="14.44140625" style="4" bestFit="1" customWidth="1"/>
    <col min="5" max="5" width="2.6640625" customWidth="1"/>
    <col min="7" max="7" width="22.88671875" bestFit="1" customWidth="1"/>
    <col min="8" max="8" width="11.77734375" bestFit="1" customWidth="1"/>
    <col min="9" max="9" width="9.77734375" bestFit="1" customWidth="1"/>
    <col min="10" max="10" width="18.44140625" bestFit="1" customWidth="1"/>
    <col min="11" max="11" width="13.109375" bestFit="1" customWidth="1"/>
    <col min="12" max="12" width="12.77734375" bestFit="1" customWidth="1"/>
    <col min="13" max="13" width="2.6640625" customWidth="1"/>
    <col min="16" max="16" width="15.33203125" customWidth="1"/>
    <col min="17" max="17" width="2.5546875" customWidth="1"/>
    <col min="20" max="20" width="14.6640625" customWidth="1"/>
    <col min="24" max="24" width="13.109375" style="4" bestFit="1" customWidth="1"/>
    <col min="25" max="25" width="7.21875" bestFit="1" customWidth="1"/>
    <col min="26" max="26" width="15.44140625" bestFit="1" customWidth="1"/>
  </cols>
  <sheetData>
    <row r="1" spans="2:10">
      <c r="B1" s="214"/>
    </row>
    <row r="2" spans="2:10">
      <c r="B2" s="214"/>
    </row>
    <row r="3" spans="2:10">
      <c r="B3" s="214"/>
    </row>
    <row r="4" spans="2:10">
      <c r="B4" s="214"/>
    </row>
    <row r="5" spans="2:10">
      <c r="B5" s="214"/>
    </row>
    <row r="6" spans="2:10">
      <c r="B6" s="214"/>
    </row>
    <row r="7" spans="2:10">
      <c r="B7" s="214"/>
    </row>
    <row r="8" spans="2:10">
      <c r="B8" s="445" t="s">
        <v>762</v>
      </c>
    </row>
    <row r="9" spans="2:10" ht="13.8" thickBot="1">
      <c r="B9" s="214"/>
    </row>
    <row r="10" spans="2:10" ht="14.4">
      <c r="B10" s="447" t="s">
        <v>441</v>
      </c>
      <c r="C10" s="448"/>
      <c r="D10" s="449" t="s">
        <v>442</v>
      </c>
      <c r="E10" s="1"/>
      <c r="F10" s="447" t="s">
        <v>455</v>
      </c>
      <c r="G10" s="448"/>
      <c r="H10" s="449" t="s">
        <v>442</v>
      </c>
    </row>
    <row r="11" spans="2:10" ht="14.4">
      <c r="B11" s="450" t="s">
        <v>440</v>
      </c>
      <c r="C11" s="356">
        <f ca="1">D11/$D$16</f>
        <v>0.3880023334744917</v>
      </c>
      <c r="D11" s="451">
        <f ca="1">SUM(D19,D42)</f>
        <v>1162914.1569307693</v>
      </c>
      <c r="E11" s="1"/>
      <c r="F11" s="452" t="s">
        <v>399</v>
      </c>
      <c r="G11" s="104"/>
      <c r="H11" s="456">
        <f>SUM(Parcels!N96:N97)</f>
        <v>739539.4</v>
      </c>
    </row>
    <row r="12" spans="2:10">
      <c r="B12" s="452" t="s">
        <v>653</v>
      </c>
      <c r="C12" s="356">
        <f ca="1">D12/$D$16</f>
        <v>0.11640070004234748</v>
      </c>
      <c r="D12" s="451">
        <f ca="1">SUM(D20,D43)</f>
        <v>348874.24707923073</v>
      </c>
      <c r="E12" s="1"/>
      <c r="F12" s="452" t="s">
        <v>400</v>
      </c>
      <c r="G12" s="421"/>
      <c r="H12" s="457" t="s">
        <v>789</v>
      </c>
    </row>
    <row r="13" spans="2:10" ht="14.4">
      <c r="B13" s="452" t="s">
        <v>439</v>
      </c>
      <c r="C13" s="356">
        <f t="shared" ref="C13:C15" ca="1" si="0">D13/$D$16</f>
        <v>0.34141254171347163</v>
      </c>
      <c r="D13" s="451">
        <f ca="1">SUM(D21,D44)</f>
        <v>1023276.0059893172</v>
      </c>
      <c r="E13" s="1"/>
      <c r="F13" s="450" t="s">
        <v>651</v>
      </c>
      <c r="G13" s="104"/>
      <c r="H13" s="458">
        <f ca="1">H14/H11</f>
        <v>4.0527704271054628</v>
      </c>
    </row>
    <row r="14" spans="2:10" ht="13.8" thickBot="1">
      <c r="B14" s="452" t="s">
        <v>25</v>
      </c>
      <c r="C14" s="356">
        <f t="shared" ca="1" si="0"/>
        <v>0.10123204305340429</v>
      </c>
      <c r="D14" s="451">
        <f>SUM(D22,D45)</f>
        <v>303411</v>
      </c>
      <c r="F14" s="459" t="s">
        <v>402</v>
      </c>
      <c r="G14" s="460"/>
      <c r="H14" s="461">
        <f ca="1">D24+D47</f>
        <v>2997183.4099993175</v>
      </c>
      <c r="J14" s="345"/>
    </row>
    <row r="15" spans="2:10">
      <c r="B15" s="452" t="s">
        <v>26</v>
      </c>
      <c r="C15" s="356">
        <f t="shared" ca="1" si="0"/>
        <v>5.2952381716284795E-2</v>
      </c>
      <c r="D15" s="451">
        <f>SUM(D23,D46)</f>
        <v>158707.99999999997</v>
      </c>
    </row>
    <row r="16" spans="2:10" ht="13.8" thickBot="1">
      <c r="B16" s="453" t="s">
        <v>16</v>
      </c>
      <c r="C16" s="454">
        <f ca="1">SUM(C11:C15)</f>
        <v>1</v>
      </c>
      <c r="D16" s="455">
        <f ca="1">SUM(D11:D15)</f>
        <v>2997183.4099993175</v>
      </c>
    </row>
    <row r="18" spans="2:26" ht="14.4">
      <c r="B18" s="211" t="s">
        <v>543</v>
      </c>
      <c r="C18" s="212"/>
      <c r="D18" s="213" t="s">
        <v>442</v>
      </c>
      <c r="W18" t="s">
        <v>20</v>
      </c>
      <c r="X18" s="4" t="s">
        <v>442</v>
      </c>
      <c r="Y18" s="4" t="s">
        <v>450</v>
      </c>
      <c r="Z18" s="4" t="s">
        <v>868</v>
      </c>
    </row>
    <row r="19" spans="2:26" ht="13.8" thickBot="1">
      <c r="B19" s="1" t="s">
        <v>440</v>
      </c>
      <c r="C19" s="210">
        <f ca="1">C24-C20-C21-C22-C23</f>
        <v>0.43147704692852928</v>
      </c>
      <c r="D19" s="423">
        <f ca="1">'Phase I - Summary'!$D$16*C19</f>
        <v>483996.24323076924</v>
      </c>
      <c r="G19" s="2" t="s">
        <v>655</v>
      </c>
      <c r="X19" s="654">
        <f ca="1">D19</f>
        <v>483996.24323076924</v>
      </c>
      <c r="Y19" s="491">
        <f ca="1">D19/$X$25</f>
        <v>0.39383883126635988</v>
      </c>
      <c r="Z19" s="2" t="s">
        <v>440</v>
      </c>
    </row>
    <row r="20" spans="2:26" ht="13.8" thickBot="1">
      <c r="B20" s="1" t="s">
        <v>653</v>
      </c>
      <c r="C20" s="210">
        <f ca="1">C19*F20</f>
        <v>0.12944311407855877</v>
      </c>
      <c r="D20" s="423">
        <f ca="1">'Phase I - Summary'!$D$16*C20</f>
        <v>145198.87296923075</v>
      </c>
      <c r="F20" s="223">
        <v>0.3</v>
      </c>
      <c r="G20" s="1" t="s">
        <v>654</v>
      </c>
      <c r="X20" s="654">
        <f ca="1">D20</f>
        <v>145198.87296923075</v>
      </c>
      <c r="Y20" s="491">
        <f ca="1">D20/$X$25</f>
        <v>0.11815164937990795</v>
      </c>
      <c r="Z20" s="2" t="s">
        <v>653</v>
      </c>
    </row>
    <row r="21" spans="2:26">
      <c r="B21" t="s">
        <v>439</v>
      </c>
      <c r="C21" s="611">
        <v>0.35499999999999998</v>
      </c>
      <c r="D21" s="423">
        <f>'Phase I - Summary'!$D$16*C21</f>
        <v>398210.44380000001</v>
      </c>
      <c r="X21" s="654">
        <f>D21</f>
        <v>398210.44380000001</v>
      </c>
      <c r="Y21" s="491">
        <f ca="1">D21/$X$25</f>
        <v>0.32403296095311557</v>
      </c>
      <c r="Z21" s="4" t="s">
        <v>439</v>
      </c>
    </row>
    <row r="22" spans="2:26">
      <c r="B22" t="s">
        <v>25</v>
      </c>
      <c r="C22" s="566">
        <v>8.4079838992911909E-2</v>
      </c>
      <c r="D22" s="423">
        <f>'Phase I - Summary'!$D$16*C22</f>
        <v>94314</v>
      </c>
      <c r="X22" s="654">
        <f>D22</f>
        <v>94314</v>
      </c>
      <c r="Y22" s="491">
        <f ca="1">D22/$X$25</f>
        <v>7.6745462493899921E-2</v>
      </c>
      <c r="Z22" s="4" t="s">
        <v>25</v>
      </c>
    </row>
    <row r="23" spans="2:26" ht="13.8" thickBot="1">
      <c r="B23" t="s">
        <v>26</v>
      </c>
      <c r="C23" s="566">
        <v>0</v>
      </c>
      <c r="D23" s="423">
        <f>'Phase I - Summary'!$D$16*C23</f>
        <v>0</v>
      </c>
      <c r="X23" s="654">
        <f>SUM('Infrastructure Budget'!D13:D16)</f>
        <v>107200</v>
      </c>
      <c r="Y23" s="491">
        <f ca="1">X23/$X$25</f>
        <v>8.7231095906716627E-2</v>
      </c>
      <c r="Z23" s="4" t="s">
        <v>867</v>
      </c>
    </row>
    <row r="24" spans="2:26" ht="13.8" thickBot="1">
      <c r="B24" s="5" t="s">
        <v>542</v>
      </c>
      <c r="C24" s="43">
        <v>1</v>
      </c>
      <c r="D24" s="424">
        <f ca="1">SUM(D19:D23)</f>
        <v>1121719.56</v>
      </c>
      <c r="F24" s="222">
        <f ca="1">SUM(C19:C23)-C24</f>
        <v>0</v>
      </c>
      <c r="G24" s="1" t="s">
        <v>656</v>
      </c>
      <c r="Y24" s="491">
        <f ca="1">D23/$X$25</f>
        <v>0</v>
      </c>
      <c r="Z24" s="4" t="s">
        <v>26</v>
      </c>
    </row>
    <row r="25" spans="2:26">
      <c r="X25" s="655">
        <f ca="1">D24+SUM('Infrastructure Budget'!D13:D16)</f>
        <v>1228919.56</v>
      </c>
      <c r="Y25" s="491">
        <f ca="1">SUM(Y19:Y24)</f>
        <v>1</v>
      </c>
      <c r="Z25" s="4"/>
    </row>
    <row r="26" spans="2:26" ht="14.4">
      <c r="B26" s="211" t="s">
        <v>545</v>
      </c>
      <c r="C26" s="212"/>
      <c r="D26" s="213" t="s">
        <v>645</v>
      </c>
      <c r="F26" s="211" t="s">
        <v>546</v>
      </c>
      <c r="G26" s="212"/>
      <c r="H26" s="213"/>
      <c r="J26" s="102"/>
      <c r="K26" s="102"/>
      <c r="L26" s="102"/>
      <c r="M26" s="102"/>
    </row>
    <row r="27" spans="2:26">
      <c r="B27" s="1" t="s">
        <v>440</v>
      </c>
      <c r="D27" s="567">
        <v>155</v>
      </c>
      <c r="F27" s="1" t="s">
        <v>440</v>
      </c>
      <c r="H27" s="101">
        <f>D27*I27</f>
        <v>23.25</v>
      </c>
      <c r="I27" s="566">
        <v>0.15</v>
      </c>
      <c r="J27" s="103" t="s">
        <v>626</v>
      </c>
      <c r="K27" s="104"/>
      <c r="L27" s="104"/>
      <c r="M27" s="105"/>
    </row>
    <row r="28" spans="2:26">
      <c r="B28" s="1" t="s">
        <v>653</v>
      </c>
      <c r="D28" s="567">
        <f>D27</f>
        <v>155</v>
      </c>
      <c r="F28" s="1" t="s">
        <v>653</v>
      </c>
      <c r="H28" s="101">
        <f>D28*I28</f>
        <v>23.25</v>
      </c>
      <c r="I28" s="566">
        <v>0.15</v>
      </c>
      <c r="J28" s="103" t="s">
        <v>626</v>
      </c>
      <c r="K28" s="104"/>
      <c r="L28" s="104"/>
      <c r="M28" s="105"/>
      <c r="W28" t="s">
        <v>445</v>
      </c>
      <c r="X28" s="4" t="s">
        <v>442</v>
      </c>
      <c r="Y28" s="4" t="s">
        <v>450</v>
      </c>
      <c r="Z28" s="4" t="s">
        <v>868</v>
      </c>
    </row>
    <row r="29" spans="2:26">
      <c r="B29" t="s">
        <v>439</v>
      </c>
      <c r="D29" s="567">
        <v>137</v>
      </c>
      <c r="F29" t="s">
        <v>439</v>
      </c>
      <c r="H29" s="101">
        <f t="shared" ref="H29:H31" si="1">D29*I29</f>
        <v>20.55</v>
      </c>
      <c r="I29" s="566">
        <v>0.15</v>
      </c>
      <c r="J29" s="103" t="s">
        <v>626</v>
      </c>
      <c r="K29" s="104"/>
      <c r="L29" s="104"/>
      <c r="M29" s="105"/>
      <c r="X29" s="654">
        <f>D42</f>
        <v>678917.91370000003</v>
      </c>
      <c r="Y29" s="653">
        <f ca="1">X29/$X$35</f>
        <v>0.34760261703214401</v>
      </c>
      <c r="Z29" t="str">
        <f>B42</f>
        <v>Multifamily Rental</v>
      </c>
    </row>
    <row r="30" spans="2:26">
      <c r="B30" t="s">
        <v>25</v>
      </c>
      <c r="D30" s="567">
        <v>138</v>
      </c>
      <c r="F30" t="s">
        <v>25</v>
      </c>
      <c r="H30" s="101">
        <f t="shared" si="1"/>
        <v>20.7</v>
      </c>
      <c r="I30" s="566">
        <v>0.15</v>
      </c>
      <c r="J30" s="103" t="s">
        <v>626</v>
      </c>
      <c r="K30" s="104"/>
      <c r="L30" s="104"/>
      <c r="M30" s="105"/>
      <c r="X30" s="654">
        <f t="shared" ref="X30:X33" si="2">D43</f>
        <v>203675.37410999998</v>
      </c>
      <c r="Y30" s="653">
        <f t="shared" ref="Y30:Y34" ca="1" si="3">X30/$X$35</f>
        <v>0.1042807851096432</v>
      </c>
      <c r="Z30" t="str">
        <f t="shared" ref="Z30:Z33" si="4">B43</f>
        <v>Affordable Rental</v>
      </c>
    </row>
    <row r="31" spans="2:26">
      <c r="B31" t="s">
        <v>26</v>
      </c>
      <c r="D31" s="567">
        <v>155</v>
      </c>
      <c r="F31" t="s">
        <v>26</v>
      </c>
      <c r="H31" s="101">
        <f t="shared" si="1"/>
        <v>23.25</v>
      </c>
      <c r="I31" s="566">
        <v>0.15</v>
      </c>
      <c r="J31" s="103" t="s">
        <v>626</v>
      </c>
      <c r="K31" s="104"/>
      <c r="L31" s="104"/>
      <c r="M31" s="105"/>
      <c r="X31" s="654">
        <f t="shared" ca="1" si="2"/>
        <v>625065.56218931719</v>
      </c>
      <c r="Y31" s="653">
        <f t="shared" ca="1" si="3"/>
        <v>0.3200304791628818</v>
      </c>
      <c r="Z31" t="str">
        <f t="shared" si="4"/>
        <v>Commerical</v>
      </c>
    </row>
    <row r="32" spans="2:26">
      <c r="J32" s="103"/>
      <c r="K32" s="104"/>
      <c r="L32" s="104"/>
      <c r="M32" s="106"/>
      <c r="X32" s="654">
        <f t="shared" si="2"/>
        <v>209097.00000000003</v>
      </c>
      <c r="Y32" s="653">
        <f t="shared" ca="1" si="3"/>
        <v>0.1070566307750825</v>
      </c>
      <c r="Z32" t="str">
        <f t="shared" si="4"/>
        <v>Retail</v>
      </c>
    </row>
    <row r="33" spans="2:26" ht="14.4">
      <c r="B33" s="211" t="s">
        <v>549</v>
      </c>
      <c r="C33" s="212"/>
      <c r="D33" s="213"/>
      <c r="F33" s="211" t="s">
        <v>550</v>
      </c>
      <c r="G33" s="212"/>
      <c r="H33" s="213"/>
      <c r="J33" s="211" t="s">
        <v>551</v>
      </c>
      <c r="K33" s="212"/>
      <c r="L33" s="213"/>
      <c r="N33" s="211" t="s">
        <v>552</v>
      </c>
      <c r="O33" s="212"/>
      <c r="P33" s="213"/>
      <c r="R33" s="211" t="s">
        <v>553</v>
      </c>
      <c r="S33" s="212"/>
      <c r="T33" s="213"/>
      <c r="X33" s="654">
        <f t="shared" si="2"/>
        <v>158707.99999999997</v>
      </c>
      <c r="Y33" s="653">
        <f t="shared" ca="1" si="3"/>
        <v>8.1257711765600593E-2</v>
      </c>
      <c r="Z33" t="str">
        <f t="shared" si="4"/>
        <v>Hotel</v>
      </c>
    </row>
    <row r="34" spans="2:26">
      <c r="B34" s="1" t="s">
        <v>440</v>
      </c>
      <c r="D34" s="425">
        <f ca="1">$D27*$D19</f>
        <v>75019417.700769231</v>
      </c>
      <c r="F34" s="1" t="s">
        <v>440</v>
      </c>
      <c r="H34" s="101">
        <f ca="1">$H27*$D19</f>
        <v>11252912.655115385</v>
      </c>
      <c r="J34" s="1" t="s">
        <v>440</v>
      </c>
      <c r="L34" s="8">
        <f ca="1">$C19*'Phase I - Summary'!$G$14</f>
        <v>19256735.603442017</v>
      </c>
      <c r="N34" s="1" t="s">
        <v>440</v>
      </c>
      <c r="P34" s="8">
        <f ca="1">$C19*'Phase I - Summary'!$G$18</f>
        <v>791845.23196429573</v>
      </c>
      <c r="R34" s="1" t="s">
        <v>440</v>
      </c>
      <c r="T34" s="8">
        <f ca="1">$C19*'Phase I - Summary'!$G$19</f>
        <v>13401221.496296691</v>
      </c>
      <c r="X34" s="654">
        <f>SUM('Infrastructure Budget'!E17:E19)</f>
        <v>77680</v>
      </c>
      <c r="Y34" s="653">
        <f t="shared" ca="1" si="3"/>
        <v>3.977177615464788E-2</v>
      </c>
      <c r="Z34" t="s">
        <v>867</v>
      </c>
    </row>
    <row r="35" spans="2:26">
      <c r="B35" s="1" t="s">
        <v>653</v>
      </c>
      <c r="D35" s="425">
        <f ca="1">$D28*$D20</f>
        <v>22505825.310230765</v>
      </c>
      <c r="F35" s="1" t="s">
        <v>653</v>
      </c>
      <c r="H35" s="101">
        <f ca="1">$H28*$D20</f>
        <v>3375873.7965346151</v>
      </c>
      <c r="J35" s="1" t="s">
        <v>653</v>
      </c>
      <c r="L35" s="8">
        <f ca="1">$C20*'Phase I - Summary'!$G$14</f>
        <v>5777020.6810326045</v>
      </c>
      <c r="N35" s="1" t="s">
        <v>653</v>
      </c>
      <c r="P35" s="8">
        <f ca="1">$C20*'Phase I - Summary'!$G$18</f>
        <v>237553.5695892887</v>
      </c>
      <c r="R35" s="1" t="s">
        <v>653</v>
      </c>
      <c r="T35" s="8">
        <f ca="1">$C20*'Phase I - Summary'!$G$19</f>
        <v>4020366.4488890069</v>
      </c>
      <c r="X35" s="654">
        <f ca="1">SUM(X29:X34)</f>
        <v>1953143.8499993172</v>
      </c>
      <c r="Y35" s="653">
        <f ca="1">SUM(Y29:Y34)</f>
        <v>1</v>
      </c>
    </row>
    <row r="36" spans="2:26">
      <c r="B36" t="s">
        <v>439</v>
      </c>
      <c r="D36" s="425">
        <f>$D29*$D21</f>
        <v>54554830.8006</v>
      </c>
      <c r="F36" t="s">
        <v>439</v>
      </c>
      <c r="H36" s="101">
        <f>$H29*$D21</f>
        <v>8183224.6200900003</v>
      </c>
      <c r="J36" t="s">
        <v>439</v>
      </c>
      <c r="L36" s="8">
        <f>$C21*'Phase I - Summary'!$G$14</f>
        <v>15843580.064999999</v>
      </c>
      <c r="N36" t="s">
        <v>439</v>
      </c>
      <c r="P36" s="8">
        <f ca="1">$C21*'Phase I - Summary'!$G$18</f>
        <v>651494.81148156594</v>
      </c>
      <c r="R36" t="s">
        <v>439</v>
      </c>
      <c r="T36" s="8">
        <f ca="1">$C21*'Phase I - Summary'!$G$19</f>
        <v>11025925.16809673</v>
      </c>
    </row>
    <row r="37" spans="2:26">
      <c r="B37" t="s">
        <v>25</v>
      </c>
      <c r="D37" s="425">
        <f>$D30*$D22</f>
        <v>13015332</v>
      </c>
      <c r="F37" t="s">
        <v>25</v>
      </c>
      <c r="H37" s="101">
        <f>$H30*$D22</f>
        <v>1952299.8</v>
      </c>
      <c r="J37" t="s">
        <v>25</v>
      </c>
      <c r="L37" s="8">
        <f>$C22*'Phase I - Summary'!$G$14</f>
        <v>3752466.6505253771</v>
      </c>
      <c r="N37" t="s">
        <v>25</v>
      </c>
      <c r="P37" s="8">
        <f ca="1">$C22*'Phase I - Summary'!$G$18</f>
        <v>154303.03902559879</v>
      </c>
      <c r="R37" t="s">
        <v>25</v>
      </c>
      <c r="T37" s="8">
        <f ca="1">$C22*'Phase I - Summary'!$G$19</f>
        <v>2611431.0222013192</v>
      </c>
    </row>
    <row r="38" spans="2:26">
      <c r="B38" t="s">
        <v>26</v>
      </c>
      <c r="D38" s="425">
        <f>$D31*$D23</f>
        <v>0</v>
      </c>
      <c r="F38" t="s">
        <v>26</v>
      </c>
      <c r="H38" s="101">
        <f>$H31*$D23</f>
        <v>0</v>
      </c>
      <c r="J38" t="s">
        <v>26</v>
      </c>
      <c r="L38" s="8">
        <f>$C23*'Phase I - Summary'!$G$14</f>
        <v>0</v>
      </c>
      <c r="N38" t="s">
        <v>26</v>
      </c>
      <c r="P38" s="8">
        <f ca="1">$C23*'Phase I - Summary'!$G$18</f>
        <v>0</v>
      </c>
      <c r="R38" t="s">
        <v>26</v>
      </c>
      <c r="T38" s="8">
        <f ca="1">$C23*'Phase I - Summary'!$G$19</f>
        <v>0</v>
      </c>
    </row>
    <row r="39" spans="2:26">
      <c r="B39" s="5" t="s">
        <v>396</v>
      </c>
      <c r="C39" s="42"/>
      <c r="D39" s="253">
        <f ca="1">SUM(D34:D38)</f>
        <v>165095405.8116</v>
      </c>
      <c r="F39" s="5" t="s">
        <v>397</v>
      </c>
      <c r="G39" s="42"/>
      <c r="H39" s="62">
        <f ca="1">SUM(H34:H38)</f>
        <v>24764310.871740002</v>
      </c>
      <c r="J39" s="5" t="s">
        <v>554</v>
      </c>
      <c r="K39" s="42"/>
      <c r="L39" s="62">
        <f ca="1">SUM(L34:L38)</f>
        <v>44629803</v>
      </c>
      <c r="N39" s="5" t="s">
        <v>554</v>
      </c>
      <c r="O39" s="42"/>
      <c r="P39" s="62">
        <f ca="1">SUM(P34:P38)</f>
        <v>1835196.652060749</v>
      </c>
      <c r="R39" s="5" t="s">
        <v>554</v>
      </c>
      <c r="S39" s="42"/>
      <c r="T39" s="62">
        <f ca="1">SUM(T34:T38)</f>
        <v>31058944.135483745</v>
      </c>
    </row>
    <row r="41" spans="2:26" ht="14.4">
      <c r="B41" s="207" t="s">
        <v>544</v>
      </c>
      <c r="C41" s="208"/>
      <c r="D41" s="206" t="s">
        <v>442</v>
      </c>
    </row>
    <row r="42" spans="2:26" ht="13.8" thickBot="1">
      <c r="B42" s="1" t="s">
        <v>440</v>
      </c>
      <c r="C42" s="566">
        <v>0.36199999999999999</v>
      </c>
      <c r="D42" s="423">
        <f>'Phase II - Summary'!$D$16*C42</f>
        <v>678917.91370000003</v>
      </c>
      <c r="G42" s="2" t="s">
        <v>657</v>
      </c>
    </row>
    <row r="43" spans="2:26" ht="13.8" thickBot="1">
      <c r="B43" s="1" t="s">
        <v>653</v>
      </c>
      <c r="C43" s="210">
        <f>C42*F43</f>
        <v>0.10859999999999999</v>
      </c>
      <c r="D43" s="423">
        <f>'Phase II - Summary'!$D$16*C43</f>
        <v>203675.37410999998</v>
      </c>
      <c r="F43" s="223">
        <v>0.3</v>
      </c>
      <c r="G43" s="1" t="s">
        <v>654</v>
      </c>
    </row>
    <row r="44" spans="2:26">
      <c r="B44" t="s">
        <v>439</v>
      </c>
      <c r="C44" s="210">
        <f ca="1">C47-C42-C43-C45-C46</f>
        <v>0.33328584935898242</v>
      </c>
      <c r="D44" s="423">
        <f ca="1">'Phase II - Summary'!$D$16*C44</f>
        <v>625065.56218931719</v>
      </c>
    </row>
    <row r="45" spans="2:26">
      <c r="B45" t="s">
        <v>25</v>
      </c>
      <c r="C45" s="611">
        <v>0.11149081865800826</v>
      </c>
      <c r="D45" s="423">
        <f>'Phase II - Summary'!$D$16*C45</f>
        <v>209097.00000000003</v>
      </c>
    </row>
    <row r="46" spans="2:26" ht="13.8" thickBot="1">
      <c r="B46" t="s">
        <v>26</v>
      </c>
      <c r="C46" s="611">
        <v>8.4623331982645239E-2</v>
      </c>
      <c r="D46" s="423">
        <f>'Phase II - Summary'!$D$16*C46</f>
        <v>158707.99999999997</v>
      </c>
    </row>
    <row r="47" spans="2:26" ht="13.8" thickBot="1">
      <c r="B47" s="5" t="s">
        <v>542</v>
      </c>
      <c r="C47" s="43">
        <f ca="1">SUM(C42:C46)</f>
        <v>0.99999999999963596</v>
      </c>
      <c r="D47" s="424">
        <f ca="1">SUM(D42:D46)</f>
        <v>1875463.8499993172</v>
      </c>
      <c r="F47" s="222">
        <f ca="1">SUM(C42:C46)-C47</f>
        <v>0</v>
      </c>
      <c r="G47" s="1" t="s">
        <v>656</v>
      </c>
    </row>
    <row r="49" spans="2:20" ht="14.4">
      <c r="B49" s="207" t="s">
        <v>548</v>
      </c>
      <c r="C49" s="208"/>
      <c r="D49" s="206" t="s">
        <v>645</v>
      </c>
      <c r="F49" s="207" t="s">
        <v>547</v>
      </c>
      <c r="G49" s="208"/>
      <c r="H49" s="206"/>
      <c r="J49" s="102"/>
      <c r="K49" s="102"/>
      <c r="L49" s="102"/>
      <c r="M49" s="102"/>
    </row>
    <row r="50" spans="2:20">
      <c r="B50" s="1" t="s">
        <v>440</v>
      </c>
      <c r="D50" s="568">
        <f>D27*1.02</f>
        <v>158.1</v>
      </c>
      <c r="F50" s="1" t="s">
        <v>440</v>
      </c>
      <c r="H50" s="101">
        <f>D50*I50</f>
        <v>23.715</v>
      </c>
      <c r="I50" s="566">
        <v>0.15</v>
      </c>
      <c r="J50" s="103" t="s">
        <v>626</v>
      </c>
      <c r="K50" s="104"/>
      <c r="L50" s="104"/>
      <c r="M50" s="105"/>
    </row>
    <row r="51" spans="2:20">
      <c r="B51" s="1" t="s">
        <v>653</v>
      </c>
      <c r="D51" s="568">
        <f>D28*1.02</f>
        <v>158.1</v>
      </c>
      <c r="F51" s="1" t="s">
        <v>653</v>
      </c>
      <c r="H51" s="101">
        <f>D51*I51</f>
        <v>23.715</v>
      </c>
      <c r="I51" s="566">
        <v>0.15</v>
      </c>
      <c r="J51" s="103" t="s">
        <v>626</v>
      </c>
      <c r="K51" s="104"/>
      <c r="L51" s="104"/>
      <c r="M51" s="105"/>
    </row>
    <row r="52" spans="2:20">
      <c r="B52" t="s">
        <v>439</v>
      </c>
      <c r="D52" s="568">
        <f>D29*1.02</f>
        <v>139.74</v>
      </c>
      <c r="F52" t="s">
        <v>439</v>
      </c>
      <c r="H52" s="101">
        <f t="shared" ref="H52:H54" si="5">D52*I52</f>
        <v>20.961000000000002</v>
      </c>
      <c r="I52" s="566">
        <v>0.15</v>
      </c>
      <c r="J52" s="103" t="s">
        <v>626</v>
      </c>
      <c r="K52" s="104"/>
      <c r="L52" s="104"/>
      <c r="M52" s="105"/>
    </row>
    <row r="53" spans="2:20">
      <c r="B53" t="s">
        <v>25</v>
      </c>
      <c r="D53" s="568">
        <f>D30*1.02</f>
        <v>140.76</v>
      </c>
      <c r="F53" t="s">
        <v>25</v>
      </c>
      <c r="H53" s="101">
        <f t="shared" si="5"/>
        <v>21.113999999999997</v>
      </c>
      <c r="I53" s="566">
        <v>0.15</v>
      </c>
      <c r="J53" s="103" t="s">
        <v>626</v>
      </c>
      <c r="K53" s="104"/>
      <c r="L53" s="104"/>
      <c r="M53" s="105"/>
    </row>
    <row r="54" spans="2:20">
      <c r="B54" t="s">
        <v>26</v>
      </c>
      <c r="D54" s="568">
        <f>D31*1.02</f>
        <v>158.1</v>
      </c>
      <c r="F54" t="s">
        <v>26</v>
      </c>
      <c r="H54" s="101">
        <f t="shared" si="5"/>
        <v>23.715</v>
      </c>
      <c r="I54" s="566">
        <v>0.15</v>
      </c>
      <c r="J54" s="103" t="s">
        <v>626</v>
      </c>
      <c r="K54" s="104"/>
      <c r="L54" s="104"/>
      <c r="M54" s="105"/>
    </row>
    <row r="55" spans="2:20">
      <c r="I55" s="178"/>
      <c r="J55" s="103"/>
      <c r="K55" s="104"/>
      <c r="L55" s="104"/>
      <c r="M55" s="106"/>
    </row>
    <row r="56" spans="2:20" ht="14.4">
      <c r="B56" s="207" t="s">
        <v>640</v>
      </c>
      <c r="C56" s="208"/>
      <c r="D56" s="206"/>
      <c r="F56" s="207" t="s">
        <v>641</v>
      </c>
      <c r="G56" s="208"/>
      <c r="H56" s="206"/>
      <c r="J56" s="207" t="s">
        <v>642</v>
      </c>
      <c r="K56" s="208"/>
      <c r="L56" s="206"/>
      <c r="N56" s="207" t="s">
        <v>643</v>
      </c>
      <c r="O56" s="208"/>
      <c r="P56" s="206"/>
      <c r="R56" s="207" t="s">
        <v>644</v>
      </c>
      <c r="S56" s="208"/>
      <c r="T56" s="206"/>
    </row>
    <row r="57" spans="2:20">
      <c r="B57" s="1" t="s">
        <v>440</v>
      </c>
      <c r="D57" s="425">
        <f>$D50*$D42</f>
        <v>107336922.15597001</v>
      </c>
      <c r="F57" s="1" t="s">
        <v>440</v>
      </c>
      <c r="H57" s="101">
        <f>$H50*$D42</f>
        <v>16100538.3233955</v>
      </c>
      <c r="J57" s="1" t="s">
        <v>440</v>
      </c>
      <c r="L57" s="8">
        <f>$C42*'Phase II - Summary'!$G$14</f>
        <v>37665382.153999999</v>
      </c>
      <c r="N57" s="1" t="s">
        <v>440</v>
      </c>
      <c r="P57" s="8">
        <f ca="1">$C42*'Phase II - Summary'!$G$18</f>
        <v>1278650.7724741211</v>
      </c>
      <c r="R57" s="1" t="s">
        <v>440</v>
      </c>
      <c r="T57" s="8">
        <f ca="1">$C42*'Phase II - Summary'!$G$19</f>
        <v>34144666.452857591</v>
      </c>
    </row>
    <row r="58" spans="2:20">
      <c r="B58" s="1" t="s">
        <v>653</v>
      </c>
      <c r="D58" s="425">
        <f>$D51*$D43</f>
        <v>32201076.646790996</v>
      </c>
      <c r="F58" s="1" t="s">
        <v>653</v>
      </c>
      <c r="H58" s="101">
        <f>$H51*$D43</f>
        <v>4830161.4970186492</v>
      </c>
      <c r="J58" s="1" t="s">
        <v>653</v>
      </c>
      <c r="L58" s="8">
        <f>$C43*'Phase II - Summary'!$G$14</f>
        <v>11299614.646199999</v>
      </c>
      <c r="N58" s="1" t="s">
        <v>653</v>
      </c>
      <c r="P58" s="8">
        <f ca="1">$C43*'Phase II - Summary'!$G$18</f>
        <v>383595.2317422363</v>
      </c>
      <c r="R58" s="1" t="s">
        <v>653</v>
      </c>
      <c r="T58" s="8">
        <f ca="1">$C43*'Phase II - Summary'!$G$19</f>
        <v>10243399.935857276</v>
      </c>
    </row>
    <row r="59" spans="2:20">
      <c r="B59" t="s">
        <v>439</v>
      </c>
      <c r="D59" s="425">
        <f ca="1">$D52*$D44</f>
        <v>87346661.660335183</v>
      </c>
      <c r="F59" t="s">
        <v>439</v>
      </c>
      <c r="H59" s="101">
        <f ca="1">$H52*$D44</f>
        <v>13101999.249050278</v>
      </c>
      <c r="J59" t="s">
        <v>439</v>
      </c>
      <c r="L59" s="8">
        <f ca="1">$C44*'Phase II - Summary'!$G$14</f>
        <v>34677731.719962843</v>
      </c>
      <c r="N59" t="s">
        <v>439</v>
      </c>
      <c r="P59" s="8">
        <f ca="1">$C44*'Phase II - Summary'!$G$18</f>
        <v>1177227.0959601006</v>
      </c>
      <c r="R59" t="s">
        <v>439</v>
      </c>
      <c r="T59" s="8">
        <f ca="1">$C44*'Phase II - Summary'!$G$19</f>
        <v>31436282.209446952</v>
      </c>
    </row>
    <row r="60" spans="2:20">
      <c r="B60" t="s">
        <v>25</v>
      </c>
      <c r="D60" s="425">
        <f>$D53*$D45</f>
        <v>29432493.720000003</v>
      </c>
      <c r="F60" t="s">
        <v>25</v>
      </c>
      <c r="H60" s="101">
        <f>$H53*$D45</f>
        <v>4414874.0580000002</v>
      </c>
      <c r="J60" t="s">
        <v>25</v>
      </c>
      <c r="L60" s="8">
        <f>$C45*'Phase II - Summary'!$G$14</f>
        <v>11600398.595072361</v>
      </c>
      <c r="N60" t="s">
        <v>25</v>
      </c>
      <c r="P60" s="8">
        <f ca="1">$C45*'Phase II - Summary'!$G$18</f>
        <v>393806.13646639342</v>
      </c>
      <c r="R60" t="s">
        <v>25</v>
      </c>
      <c r="T60" s="8">
        <f ca="1">$C45*'Phase II - Summary'!$G$19</f>
        <v>10516068.551474376</v>
      </c>
    </row>
    <row r="61" spans="2:20">
      <c r="B61" t="s">
        <v>26</v>
      </c>
      <c r="D61" s="425">
        <f>$D54*$D46</f>
        <v>25091734.799999993</v>
      </c>
      <c r="F61" t="s">
        <v>26</v>
      </c>
      <c r="H61" s="101">
        <f>$H54*$D46</f>
        <v>3763760.2199999993</v>
      </c>
      <c r="J61" t="s">
        <v>26</v>
      </c>
      <c r="L61" s="8">
        <f>$C46*'Phase II - Summary'!$G$14</f>
        <v>8804889.8847269155</v>
      </c>
      <c r="N61" t="s">
        <v>26</v>
      </c>
      <c r="P61" s="8">
        <f ca="1">$C46*'Phase II - Summary'!$G$18</f>
        <v>298905.21770426334</v>
      </c>
      <c r="R61" t="s">
        <v>26</v>
      </c>
      <c r="T61" s="8">
        <f ca="1">$C46*'Phase II - Summary'!$G$19</f>
        <v>7981865.8692730879</v>
      </c>
    </row>
    <row r="62" spans="2:20">
      <c r="B62" s="5" t="s">
        <v>396</v>
      </c>
      <c r="C62" s="42"/>
      <c r="D62" s="253">
        <f ca="1">SUM(D57:D61)</f>
        <v>281408888.98309618</v>
      </c>
      <c r="F62" s="5" t="s">
        <v>397</v>
      </c>
      <c r="G62" s="42"/>
      <c r="H62" s="62">
        <f ca="1">SUM(H57:H61)</f>
        <v>42211333.347464427</v>
      </c>
      <c r="J62" s="5" t="s">
        <v>554</v>
      </c>
      <c r="K62" s="42"/>
      <c r="L62" s="62">
        <f ca="1">SUM(L57:L61)</f>
        <v>104048016.99996212</v>
      </c>
      <c r="N62" s="5" t="s">
        <v>554</v>
      </c>
      <c r="O62" s="42"/>
      <c r="P62" s="62">
        <f ca="1">SUM(P57:P61)</f>
        <v>3532184.454347115</v>
      </c>
      <c r="R62" s="5" t="s">
        <v>554</v>
      </c>
      <c r="S62" s="42"/>
      <c r="T62" s="62">
        <f ca="1">SUM(T57:T61)</f>
        <v>94322283.018909276</v>
      </c>
    </row>
  </sheetData>
  <pageMargins left="0.7" right="0.7" top="0.75" bottom="0.75" header="0.3" footer="0.3"/>
  <pageSetup paperSize="3" scale="88" fitToWidth="0" orientation="landscape" r:id="rId1"/>
  <headerFooter>
    <oddHeader xml:space="preserve">&amp;L2019 ULI Hines Student Competition&amp;R2019-331 &amp;A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D355-A005-4C8B-9D4D-183F59E4B67F}">
  <sheetPr>
    <tabColor rgb="FF92D050"/>
    <pageSetUpPr fitToPage="1"/>
  </sheetPr>
  <dimension ref="A1:AE61"/>
  <sheetViews>
    <sheetView showGridLines="0" view="pageBreakPreview" zoomScale="80" zoomScaleNormal="100" zoomScaleSheetLayoutView="80" workbookViewId="0"/>
  </sheetViews>
  <sheetFormatPr defaultRowHeight="13.2"/>
  <cols>
    <col min="1" max="1" width="1.77734375" style="373" customWidth="1"/>
    <col min="2" max="2" width="10.88671875" customWidth="1"/>
    <col min="3" max="3" width="12.77734375" bestFit="1" customWidth="1"/>
    <col min="4" max="4" width="11.33203125" customWidth="1"/>
    <col min="5" max="5" width="14.44140625" style="4" customWidth="1"/>
    <col min="6" max="6" width="14.6640625" customWidth="1"/>
    <col min="7" max="7" width="17.6640625" customWidth="1"/>
    <col min="8" max="8" width="13.5546875" customWidth="1"/>
    <col min="9" max="9" width="15.6640625" customWidth="1"/>
    <col min="10" max="10" width="13.88671875" customWidth="1"/>
    <col min="11" max="11" width="15.33203125" customWidth="1"/>
    <col min="12" max="12" width="12.33203125" customWidth="1"/>
    <col min="13" max="13" width="17.5546875" customWidth="1"/>
    <col min="14" max="14" width="21" customWidth="1"/>
    <col min="15" max="15" width="7.21875" style="462" customWidth="1"/>
    <col min="16" max="16" width="2.77734375" customWidth="1"/>
    <col min="17" max="17" width="2.5546875" customWidth="1"/>
    <col min="18" max="18" width="14" customWidth="1"/>
    <col min="19" max="19" width="12.77734375" bestFit="1" customWidth="1"/>
    <col min="20" max="20" width="9.6640625" bestFit="1" customWidth="1"/>
    <col min="21" max="21" width="14.44140625" customWidth="1"/>
    <col min="22" max="22" width="22.5546875" customWidth="1"/>
    <col min="23" max="23" width="12.77734375" bestFit="1" customWidth="1"/>
    <col min="24" max="24" width="14.44140625" bestFit="1" customWidth="1"/>
    <col min="25" max="25" width="13.33203125" customWidth="1"/>
    <col min="26" max="26" width="14" customWidth="1"/>
    <col min="27" max="27" width="10.77734375" bestFit="1" customWidth="1"/>
    <col min="28" max="28" width="19.44140625" bestFit="1" customWidth="1"/>
    <col min="29" max="29" width="10.77734375" bestFit="1" customWidth="1"/>
    <col min="30" max="30" width="14.88671875" bestFit="1" customWidth="1"/>
    <col min="31" max="31" width="10.77734375" bestFit="1" customWidth="1"/>
  </cols>
  <sheetData>
    <row r="1" spans="2:31">
      <c r="B1" s="214"/>
    </row>
    <row r="2" spans="2:31">
      <c r="B2" s="214"/>
    </row>
    <row r="3" spans="2:31">
      <c r="B3" s="214"/>
    </row>
    <row r="4" spans="2:31">
      <c r="B4" s="214"/>
    </row>
    <row r="5" spans="2:31">
      <c r="B5" s="214"/>
    </row>
    <row r="6" spans="2:31">
      <c r="B6" s="214"/>
    </row>
    <row r="7" spans="2:31">
      <c r="B7" s="214"/>
    </row>
    <row r="8" spans="2:31" ht="14.4">
      <c r="B8" s="445" t="s">
        <v>762</v>
      </c>
      <c r="C8" s="104"/>
      <c r="D8" s="358"/>
      <c r="E8" s="358"/>
      <c r="F8" s="102"/>
      <c r="G8" s="104"/>
      <c r="H8" s="358"/>
      <c r="I8" s="104"/>
      <c r="J8" s="104"/>
      <c r="K8" s="104"/>
      <c r="L8" s="104"/>
      <c r="M8" s="104"/>
      <c r="N8" s="104"/>
      <c r="O8" s="422"/>
      <c r="P8" s="104"/>
      <c r="Q8" s="104"/>
      <c r="R8" s="104"/>
      <c r="S8" s="104"/>
      <c r="T8" s="104"/>
    </row>
    <row r="9" spans="2:31" ht="14.4">
      <c r="B9" s="103"/>
      <c r="C9" s="356"/>
      <c r="D9" s="359"/>
      <c r="E9" s="358"/>
      <c r="F9" s="104"/>
      <c r="G9" s="104"/>
      <c r="H9" s="360"/>
      <c r="I9" s="104"/>
      <c r="J9" s="104"/>
      <c r="K9" s="104"/>
      <c r="L9" s="104"/>
      <c r="M9" s="104"/>
      <c r="N9" s="104"/>
      <c r="O9" s="422"/>
      <c r="P9" s="104"/>
      <c r="Q9" s="104"/>
      <c r="R9" s="104"/>
      <c r="S9" s="104"/>
      <c r="T9" s="104"/>
    </row>
    <row r="10" spans="2:31" ht="15">
      <c r="B10" s="364" t="s">
        <v>8</v>
      </c>
      <c r="C10" s="364"/>
      <c r="D10" s="366">
        <v>0.02</v>
      </c>
      <c r="E10" s="386"/>
      <c r="F10" s="364" t="s">
        <v>702</v>
      </c>
      <c r="G10" s="364"/>
      <c r="H10" s="369">
        <v>21.346399999999999</v>
      </c>
      <c r="I10" s="104"/>
      <c r="J10" s="104"/>
      <c r="K10" s="104"/>
      <c r="L10" s="104"/>
      <c r="M10" s="104"/>
      <c r="N10" s="104"/>
      <c r="O10" s="422"/>
      <c r="P10" s="104"/>
      <c r="Q10" s="104"/>
      <c r="R10" s="364" t="s">
        <v>8</v>
      </c>
      <c r="S10" s="364"/>
      <c r="T10" s="366">
        <v>0.02</v>
      </c>
      <c r="U10" s="386"/>
      <c r="V10" s="364" t="s">
        <v>702</v>
      </c>
      <c r="W10" s="364"/>
      <c r="X10" s="369">
        <v>21.346399999999999</v>
      </c>
      <c r="Y10" s="104"/>
      <c r="Z10" s="104"/>
      <c r="AA10" s="104"/>
      <c r="AB10" s="104"/>
      <c r="AC10" s="104"/>
      <c r="AD10" s="104"/>
      <c r="AE10" s="104"/>
    </row>
    <row r="11" spans="2:31" ht="15">
      <c r="B11" s="364" t="s">
        <v>723</v>
      </c>
      <c r="D11" s="391">
        <v>3</v>
      </c>
      <c r="F11" s="364" t="s">
        <v>724</v>
      </c>
      <c r="G11" s="364"/>
      <c r="H11" s="366">
        <v>0.35</v>
      </c>
      <c r="I11" s="104"/>
      <c r="J11" s="104"/>
      <c r="K11" s="104"/>
      <c r="L11" s="104"/>
      <c r="M11" s="104"/>
      <c r="N11" s="104"/>
      <c r="O11" s="422"/>
      <c r="P11" s="104"/>
      <c r="Q11" s="104"/>
      <c r="R11" s="364" t="s">
        <v>723</v>
      </c>
      <c r="T11" s="391">
        <v>3</v>
      </c>
      <c r="U11" s="4"/>
      <c r="V11" s="364" t="s">
        <v>724</v>
      </c>
      <c r="W11" s="364"/>
      <c r="X11" s="366">
        <v>0.35</v>
      </c>
      <c r="Y11" s="104"/>
      <c r="Z11" s="104"/>
      <c r="AA11" s="104"/>
      <c r="AB11" s="104"/>
      <c r="AC11" s="104"/>
      <c r="AD11" s="104"/>
      <c r="AE11" s="104"/>
    </row>
    <row r="12" spans="2:31" ht="15">
      <c r="B12" s="364" t="s">
        <v>704</v>
      </c>
      <c r="C12" s="364"/>
      <c r="D12" s="366">
        <v>0.25</v>
      </c>
      <c r="E12" s="387"/>
      <c r="F12" s="364" t="s">
        <v>708</v>
      </c>
      <c r="G12" s="364"/>
      <c r="H12" s="370">
        <f>'Phase I - Summary'!$D$29</f>
        <v>5.6000000000000001E-2</v>
      </c>
      <c r="I12" s="104"/>
      <c r="J12" s="357"/>
      <c r="K12" s="104"/>
      <c r="L12" s="104"/>
      <c r="M12" s="104"/>
      <c r="N12" s="104"/>
      <c r="O12" s="422"/>
      <c r="P12" s="104"/>
      <c r="Q12" s="104"/>
      <c r="R12" s="364" t="s">
        <v>704</v>
      </c>
      <c r="S12" s="364"/>
      <c r="T12" s="366">
        <v>0.25</v>
      </c>
      <c r="U12" s="387"/>
      <c r="V12" s="364" t="s">
        <v>708</v>
      </c>
      <c r="W12" s="364"/>
      <c r="X12" s="370">
        <f>'Phase I - Summary'!$D$29</f>
        <v>5.6000000000000001E-2</v>
      </c>
      <c r="Y12" s="104"/>
      <c r="Z12" s="357"/>
      <c r="AA12" s="104"/>
      <c r="AB12" s="104"/>
      <c r="AC12" s="104"/>
      <c r="AD12" s="104"/>
      <c r="AE12" s="104"/>
    </row>
    <row r="13" spans="2:31" ht="15">
      <c r="B13" s="364" t="s">
        <v>703</v>
      </c>
      <c r="C13" s="364"/>
      <c r="D13" s="365">
        <v>1.23</v>
      </c>
      <c r="E13" s="388"/>
      <c r="F13" s="364" t="s">
        <v>707</v>
      </c>
      <c r="H13" s="368">
        <v>0.04</v>
      </c>
      <c r="I13" s="104"/>
      <c r="J13" s="104"/>
      <c r="K13" s="104"/>
      <c r="L13" s="104"/>
      <c r="M13" s="104"/>
      <c r="N13" s="104"/>
      <c r="O13" s="422"/>
      <c r="P13" s="104"/>
      <c r="Q13" s="104"/>
      <c r="R13" s="364" t="s">
        <v>703</v>
      </c>
      <c r="S13" s="364"/>
      <c r="T13" s="365">
        <v>1.23</v>
      </c>
      <c r="U13" s="388"/>
      <c r="V13" s="364" t="s">
        <v>707</v>
      </c>
      <c r="X13" s="368">
        <v>0.06</v>
      </c>
      <c r="Y13" s="104"/>
      <c r="Z13" s="104"/>
      <c r="AA13" s="104"/>
      <c r="AB13" s="104"/>
      <c r="AC13" s="104"/>
      <c r="AD13" s="104"/>
      <c r="AE13" s="104"/>
    </row>
    <row r="14" spans="2:31" ht="15">
      <c r="B14" s="364" t="s">
        <v>540</v>
      </c>
      <c r="C14" s="364"/>
      <c r="D14" s="367">
        <v>30</v>
      </c>
      <c r="E14" s="389"/>
      <c r="F14" s="364" t="s">
        <v>706</v>
      </c>
      <c r="G14" s="364"/>
      <c r="H14" s="370">
        <f>SUM(H12:H13)</f>
        <v>9.6000000000000002E-2</v>
      </c>
      <c r="I14" s="104"/>
      <c r="J14" s="104"/>
      <c r="K14" s="104"/>
      <c r="L14" s="104"/>
      <c r="M14" s="104"/>
      <c r="N14" s="104"/>
      <c r="O14" s="422"/>
      <c r="P14" s="104"/>
      <c r="Q14" s="104"/>
      <c r="R14" s="364" t="s">
        <v>540</v>
      </c>
      <c r="S14" s="364"/>
      <c r="T14" s="367">
        <v>30</v>
      </c>
      <c r="U14" s="389"/>
      <c r="V14" s="364" t="s">
        <v>706</v>
      </c>
      <c r="W14" s="364"/>
      <c r="X14" s="370">
        <f>SUM(X12:X13)</f>
        <v>0.11599999999999999</v>
      </c>
      <c r="Y14" s="104"/>
      <c r="Z14" s="104"/>
      <c r="AA14" s="104"/>
      <c r="AB14" s="104"/>
      <c r="AC14" s="104"/>
      <c r="AD14" s="104"/>
      <c r="AE14" s="104"/>
    </row>
    <row r="15" spans="2:31" ht="15">
      <c r="B15" s="364" t="s">
        <v>460</v>
      </c>
      <c r="C15" s="364"/>
      <c r="D15" s="368">
        <v>0.05</v>
      </c>
      <c r="E15" s="390"/>
      <c r="I15" s="104"/>
      <c r="J15" s="104"/>
      <c r="K15" s="104"/>
      <c r="L15" s="104"/>
      <c r="M15" s="104"/>
      <c r="N15" s="104"/>
      <c r="O15" s="422"/>
      <c r="P15" s="104"/>
      <c r="Q15" s="104"/>
      <c r="R15" s="364" t="s">
        <v>460</v>
      </c>
      <c r="S15" s="364"/>
      <c r="T15" s="368">
        <v>0.05</v>
      </c>
      <c r="U15" s="390"/>
      <c r="Y15" s="104"/>
      <c r="Z15" s="104"/>
      <c r="AA15" s="104"/>
      <c r="AB15" s="104"/>
      <c r="AC15" s="104"/>
      <c r="AD15" s="104"/>
      <c r="AE15" s="104"/>
    </row>
    <row r="16" spans="2:31">
      <c r="E16" s="216"/>
      <c r="F16" s="104"/>
      <c r="G16" s="104"/>
      <c r="H16" s="104"/>
      <c r="I16" s="104"/>
      <c r="J16" s="104"/>
      <c r="K16" s="104"/>
      <c r="L16" s="104"/>
      <c r="M16" s="104"/>
      <c r="N16" s="104"/>
      <c r="O16" s="422"/>
      <c r="P16" s="104"/>
      <c r="Q16" s="104"/>
      <c r="U16" s="216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</row>
    <row r="17" spans="1:31" ht="18">
      <c r="B17" s="376" t="s">
        <v>20</v>
      </c>
      <c r="C17" s="377"/>
      <c r="D17" s="378"/>
      <c r="E17" s="378"/>
      <c r="F17" s="377"/>
      <c r="G17" s="377"/>
      <c r="H17" s="377"/>
      <c r="I17" s="377"/>
      <c r="J17" s="377"/>
      <c r="K17" s="377"/>
      <c r="L17" s="377"/>
      <c r="M17" s="377"/>
      <c r="N17" s="377"/>
      <c r="O17" s="422"/>
      <c r="P17" s="104"/>
      <c r="Q17" s="104"/>
      <c r="R17" s="400" t="s">
        <v>445</v>
      </c>
      <c r="S17" s="401"/>
      <c r="T17" s="402"/>
      <c r="U17" s="402"/>
      <c r="V17" s="401"/>
      <c r="W17" s="401"/>
      <c r="X17" s="401"/>
      <c r="Y17" s="401"/>
      <c r="Z17" s="401"/>
      <c r="AA17" s="401"/>
      <c r="AB17" s="401"/>
      <c r="AC17" s="401"/>
      <c r="AD17" s="401"/>
      <c r="AE17" s="104"/>
    </row>
    <row r="18" spans="1:31" ht="15">
      <c r="B18" s="371" t="s">
        <v>392</v>
      </c>
      <c r="C18" s="356"/>
      <c r="D18" s="359"/>
      <c r="E18" s="216"/>
      <c r="F18" s="104"/>
      <c r="G18" s="358"/>
      <c r="H18" s="216">
        <f>'Official Summary Board'!$E$15</f>
        <v>2020</v>
      </c>
      <c r="I18" s="104"/>
      <c r="J18" s="104"/>
      <c r="K18" s="104"/>
      <c r="L18" s="104"/>
      <c r="M18" s="104"/>
      <c r="N18" s="104"/>
      <c r="O18" s="422"/>
      <c r="P18" s="104"/>
      <c r="Q18" s="104"/>
      <c r="R18" s="371" t="s">
        <v>392</v>
      </c>
      <c r="S18" s="356"/>
      <c r="T18" s="359"/>
      <c r="U18" s="216"/>
      <c r="V18" s="104"/>
      <c r="W18" s="358"/>
      <c r="X18" s="216">
        <f>'Official Summary Board'!$E$15</f>
        <v>2020</v>
      </c>
      <c r="Y18" s="104"/>
      <c r="Z18" s="104"/>
      <c r="AA18" s="104"/>
      <c r="AB18" s="104"/>
      <c r="AC18" s="104"/>
      <c r="AD18" s="104"/>
      <c r="AE18" s="104"/>
    </row>
    <row r="19" spans="1:31" ht="15">
      <c r="B19" s="371" t="s">
        <v>709</v>
      </c>
      <c r="C19" s="356"/>
      <c r="D19" s="359"/>
      <c r="E19" s="216"/>
      <c r="F19" s="362"/>
      <c r="G19" s="103"/>
      <c r="H19" s="216">
        <f>'Official Summary Board'!J15</f>
        <v>2025</v>
      </c>
      <c r="I19" s="104"/>
      <c r="J19" s="104"/>
      <c r="K19" s="104"/>
      <c r="L19" s="104"/>
      <c r="M19" s="104"/>
      <c r="N19" s="104"/>
      <c r="O19" s="422"/>
      <c r="P19" s="104"/>
      <c r="Q19" s="104"/>
      <c r="R19" s="371" t="s">
        <v>709</v>
      </c>
      <c r="S19" s="356"/>
      <c r="T19" s="359"/>
      <c r="U19" s="216"/>
      <c r="V19" s="362"/>
      <c r="W19" s="103"/>
      <c r="X19" s="216">
        <f>'Official Summary Board'!M15</f>
        <v>2028</v>
      </c>
      <c r="Y19" s="104"/>
      <c r="Z19" s="104"/>
      <c r="AA19" s="104"/>
      <c r="AB19" s="104"/>
      <c r="AC19" s="104"/>
      <c r="AD19" s="104"/>
      <c r="AE19" s="104"/>
    </row>
    <row r="20" spans="1:31" ht="15">
      <c r="B20" s="371" t="s">
        <v>710</v>
      </c>
      <c r="C20" s="362"/>
      <c r="D20" s="359"/>
      <c r="E20" s="216"/>
      <c r="F20" s="104"/>
      <c r="G20" s="104"/>
      <c r="H20" s="106">
        <f ca="1">'Phase I - Summary'!I48</f>
        <v>494723822.08061552</v>
      </c>
      <c r="I20" s="104"/>
      <c r="J20" s="104"/>
      <c r="K20" s="104"/>
      <c r="L20" s="104"/>
      <c r="M20" s="104"/>
      <c r="N20" s="104"/>
      <c r="O20" s="422"/>
      <c r="P20" s="104"/>
      <c r="Q20" s="104"/>
      <c r="R20" s="371" t="s">
        <v>710</v>
      </c>
      <c r="S20" s="362"/>
      <c r="T20" s="359"/>
      <c r="U20" s="216"/>
      <c r="V20" s="104"/>
      <c r="W20" s="104"/>
      <c r="X20" s="106">
        <f ca="1">'Phase II - Summary'!I47</f>
        <v>907522127.81248164</v>
      </c>
      <c r="Y20" s="104"/>
      <c r="Z20" s="104"/>
      <c r="AA20" s="104"/>
      <c r="AB20" s="104"/>
      <c r="AC20" s="104"/>
      <c r="AD20" s="104"/>
      <c r="AE20" s="104"/>
    </row>
    <row r="21" spans="1:31">
      <c r="B21" s="104"/>
      <c r="C21" s="362"/>
      <c r="D21" s="359"/>
      <c r="E21" s="216"/>
      <c r="F21" s="104"/>
      <c r="G21" s="104"/>
      <c r="H21" s="104"/>
      <c r="I21" s="104"/>
      <c r="J21" s="104"/>
      <c r="K21" s="104"/>
      <c r="L21" s="104"/>
      <c r="M21" s="104"/>
      <c r="N21" s="104"/>
      <c r="O21" s="422"/>
      <c r="P21" s="104"/>
      <c r="Q21" s="104"/>
      <c r="R21" s="104"/>
      <c r="S21" s="362"/>
      <c r="T21" s="359"/>
      <c r="U21" s="216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</row>
    <row r="22" spans="1:31" s="214" customFormat="1" ht="48" customHeight="1" thickBot="1">
      <c r="B22" s="372" t="s">
        <v>711</v>
      </c>
      <c r="C22" s="372" t="s">
        <v>712</v>
      </c>
      <c r="D22" s="372" t="s">
        <v>8</v>
      </c>
      <c r="E22" s="372" t="s">
        <v>713</v>
      </c>
      <c r="F22" s="372" t="s">
        <v>724</v>
      </c>
      <c r="G22" s="372" t="s">
        <v>714</v>
      </c>
      <c r="H22" s="372" t="s">
        <v>702</v>
      </c>
      <c r="I22" s="372" t="s">
        <v>715</v>
      </c>
      <c r="J22" s="372" t="s">
        <v>704</v>
      </c>
      <c r="K22" s="372" t="s">
        <v>716</v>
      </c>
      <c r="L22" s="372" t="s">
        <v>717</v>
      </c>
      <c r="M22" s="372" t="s">
        <v>718</v>
      </c>
      <c r="N22" s="372" t="s">
        <v>719</v>
      </c>
      <c r="O22" s="463"/>
      <c r="P22" s="374"/>
      <c r="Q22" s="374"/>
      <c r="R22" s="372" t="s">
        <v>711</v>
      </c>
      <c r="S22" s="372" t="s">
        <v>712</v>
      </c>
      <c r="T22" s="372" t="s">
        <v>8</v>
      </c>
      <c r="U22" s="372" t="s">
        <v>713</v>
      </c>
      <c r="V22" s="372" t="s">
        <v>724</v>
      </c>
      <c r="W22" s="372" t="s">
        <v>714</v>
      </c>
      <c r="X22" s="372" t="s">
        <v>702</v>
      </c>
      <c r="Y22" s="372" t="s">
        <v>715</v>
      </c>
      <c r="Z22" s="372" t="s">
        <v>704</v>
      </c>
      <c r="AA22" s="372" t="s">
        <v>716</v>
      </c>
      <c r="AB22" s="372" t="s">
        <v>717</v>
      </c>
      <c r="AC22" s="372" t="s">
        <v>718</v>
      </c>
      <c r="AD22" s="372" t="s">
        <v>719</v>
      </c>
    </row>
    <row r="23" spans="1:31" ht="14.4">
      <c r="A23" s="373">
        <v>0</v>
      </c>
      <c r="B23" s="375">
        <v>0</v>
      </c>
      <c r="C23" s="106">
        <f>'Phase I - Summary'!G14</f>
        <v>44629803</v>
      </c>
      <c r="D23" s="380">
        <v>1</v>
      </c>
      <c r="E23" s="394">
        <v>0</v>
      </c>
      <c r="F23" s="381">
        <f t="shared" ref="F23:F53" si="0">$H$11</f>
        <v>0.35</v>
      </c>
      <c r="G23" s="394">
        <v>0</v>
      </c>
      <c r="H23" s="384">
        <f>$H$10</f>
        <v>21.346399999999999</v>
      </c>
      <c r="I23" s="394">
        <v>0</v>
      </c>
      <c r="J23" s="379">
        <f>$D$12</f>
        <v>0.25</v>
      </c>
      <c r="K23" s="395">
        <f>H23*F23*C23/1000</f>
        <v>333439.96936572</v>
      </c>
      <c r="L23" s="106">
        <f>SUM(K23,I23)</f>
        <v>333439.96936572</v>
      </c>
      <c r="M23" s="396">
        <f>I23*(1-J23)</f>
        <v>0</v>
      </c>
      <c r="N23" s="396">
        <f>M23/$D$13</f>
        <v>0</v>
      </c>
      <c r="O23" s="464" t="str">
        <f t="shared" ref="O23:O53" si="1">IF(N23=0,"",N23)</f>
        <v/>
      </c>
      <c r="P23" s="104"/>
      <c r="Q23" s="104"/>
      <c r="R23" s="375">
        <v>0</v>
      </c>
      <c r="S23" s="106">
        <f>'Phase I - Summary'!W14</f>
        <v>0</v>
      </c>
      <c r="T23" s="380">
        <v>1</v>
      </c>
      <c r="U23" s="394">
        <v>0</v>
      </c>
      <c r="V23" s="381">
        <f t="shared" ref="V23:V53" si="2">$H$11</f>
        <v>0.35</v>
      </c>
      <c r="W23" s="394">
        <v>0</v>
      </c>
      <c r="X23" s="384">
        <f>$H$10</f>
        <v>21.346399999999999</v>
      </c>
      <c r="Y23" s="394">
        <v>0</v>
      </c>
      <c r="Z23" s="379">
        <f>$D$12</f>
        <v>0.25</v>
      </c>
      <c r="AA23" s="395">
        <f>X23*V23*S23/1000</f>
        <v>0</v>
      </c>
      <c r="AB23" s="106">
        <f>SUM(AA23,Y23)</f>
        <v>0</v>
      </c>
      <c r="AC23" s="396">
        <f>Y23*(1-Z23)</f>
        <v>0</v>
      </c>
      <c r="AD23" s="396">
        <f>AC23/$D$13</f>
        <v>0</v>
      </c>
      <c r="AE23" s="396" t="str">
        <f t="shared" ref="AE23:AE53" si="3">IF(AD23=0,"",AD23)</f>
        <v/>
      </c>
    </row>
    <row r="24" spans="1:31" ht="14.4">
      <c r="A24" s="392">
        <f>MOD(A23+1,$D$11)</f>
        <v>1</v>
      </c>
      <c r="B24" s="375">
        <f t="shared" ref="B24:B53" si="4">B23+1</f>
        <v>1</v>
      </c>
      <c r="C24" s="106">
        <f>C23*D24</f>
        <v>44629803</v>
      </c>
      <c r="D24" s="385">
        <f>D23*(1+IF($A24=0,$D$10,0))</f>
        <v>1</v>
      </c>
      <c r="E24" s="394">
        <v>0</v>
      </c>
      <c r="F24" s="381">
        <f t="shared" si="0"/>
        <v>0.35</v>
      </c>
      <c r="G24" s="394">
        <v>0</v>
      </c>
      <c r="H24" s="384">
        <f t="shared" ref="H24:H53" si="5">$H$10</f>
        <v>21.346399999999999</v>
      </c>
      <c r="I24" s="394">
        <v>0</v>
      </c>
      <c r="J24" s="379">
        <f t="shared" ref="J24:J53" si="6">$D$12</f>
        <v>0.25</v>
      </c>
      <c r="K24" s="395">
        <f t="shared" ref="K24:K53" si="7">H24*F24*C24/1000</f>
        <v>333439.96936572</v>
      </c>
      <c r="L24" s="106">
        <f t="shared" ref="L24:L53" si="8">SUM(K24,I24)</f>
        <v>333439.96936572</v>
      </c>
      <c r="M24" s="396">
        <f t="shared" ref="M24:M53" si="9">I24*(1-J24)</f>
        <v>0</v>
      </c>
      <c r="N24" s="396">
        <f t="shared" ref="N24:N53" si="10">M24/$D$13</f>
        <v>0</v>
      </c>
      <c r="O24" s="464" t="str">
        <f t="shared" si="1"/>
        <v/>
      </c>
      <c r="P24" s="104"/>
      <c r="Q24" s="104"/>
      <c r="R24" s="375">
        <f t="shared" ref="R24:R53" si="11">R23+1</f>
        <v>1</v>
      </c>
      <c r="S24" s="106">
        <f>S23*T24</f>
        <v>0</v>
      </c>
      <c r="T24" s="385">
        <f>T23*(1+IF($A24=0,$D$10,0))</f>
        <v>1</v>
      </c>
      <c r="U24" s="394">
        <v>0</v>
      </c>
      <c r="V24" s="381">
        <f t="shared" si="2"/>
        <v>0.35</v>
      </c>
      <c r="W24" s="394">
        <v>0</v>
      </c>
      <c r="X24" s="384">
        <f t="shared" ref="X24:X53" si="12">$H$10</f>
        <v>21.346399999999999</v>
      </c>
      <c r="Y24" s="394">
        <v>0</v>
      </c>
      <c r="Z24" s="379">
        <f t="shared" ref="Z24:Z53" si="13">$D$12</f>
        <v>0.25</v>
      </c>
      <c r="AA24" s="395">
        <f t="shared" ref="AA24:AA53" si="14">X24*V24*S24/1000</f>
        <v>0</v>
      </c>
      <c r="AB24" s="106">
        <f t="shared" ref="AB24:AB53" si="15">SUM(AA24,Y24)</f>
        <v>0</v>
      </c>
      <c r="AC24" s="396">
        <f t="shared" ref="AC24:AC53" si="16">Y24*(1-Z24)</f>
        <v>0</v>
      </c>
      <c r="AD24" s="396">
        <f t="shared" ref="AD24:AD53" si="17">AC24/$D$13</f>
        <v>0</v>
      </c>
      <c r="AE24" s="396" t="str">
        <f t="shared" si="3"/>
        <v/>
      </c>
    </row>
    <row r="25" spans="1:31" ht="14.4">
      <c r="A25" s="392">
        <f t="shared" ref="A25:A53" si="18">MOD(A24+1,$D$11)</f>
        <v>2</v>
      </c>
      <c r="B25" s="375">
        <f t="shared" si="4"/>
        <v>2</v>
      </c>
      <c r="C25" s="106">
        <f t="shared" ref="C25:C53" si="19">C24*D25</f>
        <v>44629803</v>
      </c>
      <c r="D25" s="385">
        <f t="shared" ref="D25:D53" si="20">D24*(1+IF($A25=0,$D$10,0))</f>
        <v>1</v>
      </c>
      <c r="E25" s="394">
        <v>0</v>
      </c>
      <c r="F25" s="381">
        <f t="shared" si="0"/>
        <v>0.35</v>
      </c>
      <c r="G25" s="394">
        <v>0</v>
      </c>
      <c r="H25" s="384">
        <f t="shared" si="5"/>
        <v>21.346399999999999</v>
      </c>
      <c r="I25" s="394">
        <v>0</v>
      </c>
      <c r="J25" s="379">
        <f t="shared" si="6"/>
        <v>0.25</v>
      </c>
      <c r="K25" s="395">
        <f t="shared" si="7"/>
        <v>333439.96936572</v>
      </c>
      <c r="L25" s="106">
        <f t="shared" si="8"/>
        <v>333439.96936572</v>
      </c>
      <c r="M25" s="396">
        <f t="shared" si="9"/>
        <v>0</v>
      </c>
      <c r="N25" s="396">
        <f t="shared" si="10"/>
        <v>0</v>
      </c>
      <c r="O25" s="464" t="str">
        <f t="shared" si="1"/>
        <v/>
      </c>
      <c r="P25" s="104"/>
      <c r="Q25" s="104"/>
      <c r="R25" s="375">
        <f t="shared" si="11"/>
        <v>2</v>
      </c>
      <c r="S25" s="106">
        <f t="shared" ref="S25:S53" si="21">S24*T25</f>
        <v>0</v>
      </c>
      <c r="T25" s="385">
        <f t="shared" ref="T25:T53" si="22">T24*(1+IF($A25=0,$D$10,0))</f>
        <v>1</v>
      </c>
      <c r="U25" s="394">
        <v>0</v>
      </c>
      <c r="V25" s="381">
        <f t="shared" si="2"/>
        <v>0.35</v>
      </c>
      <c r="W25" s="394">
        <v>0</v>
      </c>
      <c r="X25" s="384">
        <f t="shared" si="12"/>
        <v>21.346399999999999</v>
      </c>
      <c r="Y25" s="394">
        <v>0</v>
      </c>
      <c r="Z25" s="379">
        <f t="shared" si="13"/>
        <v>0.25</v>
      </c>
      <c r="AA25" s="395">
        <f t="shared" si="14"/>
        <v>0</v>
      </c>
      <c r="AB25" s="106">
        <f t="shared" si="15"/>
        <v>0</v>
      </c>
      <c r="AC25" s="396">
        <f t="shared" si="16"/>
        <v>0</v>
      </c>
      <c r="AD25" s="396">
        <f t="shared" si="17"/>
        <v>0</v>
      </c>
      <c r="AE25" s="396" t="str">
        <f t="shared" si="3"/>
        <v/>
      </c>
    </row>
    <row r="26" spans="1:31" ht="14.4">
      <c r="A26" s="392">
        <f t="shared" si="18"/>
        <v>0</v>
      </c>
      <c r="B26" s="375">
        <f t="shared" si="4"/>
        <v>3</v>
      </c>
      <c r="C26" s="106">
        <f t="shared" si="19"/>
        <v>45522399.060000002</v>
      </c>
      <c r="D26" s="385">
        <f t="shared" si="20"/>
        <v>1.02</v>
      </c>
      <c r="E26" s="394">
        <f ca="1">D26*$H$20</f>
        <v>504618298.52222782</v>
      </c>
      <c r="F26" s="381">
        <f t="shared" si="0"/>
        <v>0.35</v>
      </c>
      <c r="G26" s="395">
        <f ca="1">E26*F26</f>
        <v>176616404.48277974</v>
      </c>
      <c r="H26" s="384">
        <f t="shared" si="5"/>
        <v>21.346399999999999</v>
      </c>
      <c r="I26" s="394">
        <f ca="1">MAX(H26*G26/1000-K26,0)</f>
        <v>3430015.6478981748</v>
      </c>
      <c r="J26" s="379">
        <f t="shared" si="6"/>
        <v>0.25</v>
      </c>
      <c r="K26" s="395">
        <f t="shared" si="7"/>
        <v>340108.76875303435</v>
      </c>
      <c r="L26" s="106">
        <f t="shared" ca="1" si="8"/>
        <v>3770124.4166512094</v>
      </c>
      <c r="M26" s="396">
        <f t="shared" ca="1" si="9"/>
        <v>2572511.7359236311</v>
      </c>
      <c r="N26" s="396">
        <f t="shared" ca="1" si="10"/>
        <v>2091472.9560354725</v>
      </c>
      <c r="O26" s="464">
        <f t="shared" ca="1" si="1"/>
        <v>2091472.9560354725</v>
      </c>
      <c r="P26" s="104"/>
      <c r="Q26" s="104"/>
      <c r="R26" s="375">
        <f t="shared" si="11"/>
        <v>3</v>
      </c>
      <c r="S26" s="106">
        <f t="shared" si="21"/>
        <v>0</v>
      </c>
      <c r="T26" s="385">
        <f t="shared" si="22"/>
        <v>1.02</v>
      </c>
      <c r="U26" s="394">
        <f ca="1">T26*$H$20</f>
        <v>504618298.52222782</v>
      </c>
      <c r="V26" s="381">
        <f t="shared" si="2"/>
        <v>0.35</v>
      </c>
      <c r="W26" s="395">
        <f ca="1">U26*V26</f>
        <v>176616404.48277974</v>
      </c>
      <c r="X26" s="384">
        <f t="shared" si="12"/>
        <v>21.346399999999999</v>
      </c>
      <c r="Y26" s="394">
        <f ca="1">MAX(X26*W26/1000-AA26,0)</f>
        <v>3770124.4166512094</v>
      </c>
      <c r="Z26" s="379">
        <f t="shared" si="13"/>
        <v>0.25</v>
      </c>
      <c r="AA26" s="395">
        <f t="shared" si="14"/>
        <v>0</v>
      </c>
      <c r="AB26" s="106">
        <f t="shared" ca="1" si="15"/>
        <v>3770124.4166512094</v>
      </c>
      <c r="AC26" s="396">
        <f t="shared" ca="1" si="16"/>
        <v>2827593.3124884069</v>
      </c>
      <c r="AD26" s="396">
        <f t="shared" ca="1" si="17"/>
        <v>2298856.3516165912</v>
      </c>
      <c r="AE26" s="396">
        <f t="shared" ca="1" si="3"/>
        <v>2298856.3516165912</v>
      </c>
    </row>
    <row r="27" spans="1:31" ht="14.4">
      <c r="A27" s="392">
        <f t="shared" si="18"/>
        <v>1</v>
      </c>
      <c r="B27" s="375">
        <f t="shared" si="4"/>
        <v>4</v>
      </c>
      <c r="C27" s="106">
        <f t="shared" si="19"/>
        <v>46432847.041200005</v>
      </c>
      <c r="D27" s="385">
        <f t="shared" si="20"/>
        <v>1.02</v>
      </c>
      <c r="E27" s="394">
        <f t="shared" ref="E27:E53" ca="1" si="23">D27*$H$20</f>
        <v>504618298.52222782</v>
      </c>
      <c r="F27" s="381">
        <f t="shared" si="0"/>
        <v>0.35</v>
      </c>
      <c r="G27" s="395">
        <f t="shared" ref="G27:G53" ca="1" si="24">E27*F27</f>
        <v>176616404.48277974</v>
      </c>
      <c r="H27" s="384">
        <f t="shared" si="5"/>
        <v>21.346399999999999</v>
      </c>
      <c r="I27" s="394">
        <f t="shared" ref="I27:I53" ca="1" si="25">MAX(H27*G27/1000-K27,0)</f>
        <v>3423213.4725231142</v>
      </c>
      <c r="J27" s="379">
        <f t="shared" si="6"/>
        <v>0.25</v>
      </c>
      <c r="K27" s="395">
        <f t="shared" si="7"/>
        <v>346910.94412809511</v>
      </c>
      <c r="L27" s="106">
        <f t="shared" ca="1" si="8"/>
        <v>3770124.4166512094</v>
      </c>
      <c r="M27" s="396">
        <f t="shared" ca="1" si="9"/>
        <v>2567410.1043923358</v>
      </c>
      <c r="N27" s="396">
        <f t="shared" ca="1" si="10"/>
        <v>2087325.2881238502</v>
      </c>
      <c r="O27" s="464">
        <f t="shared" ca="1" si="1"/>
        <v>2087325.2881238502</v>
      </c>
      <c r="P27" s="104"/>
      <c r="Q27" s="104"/>
      <c r="R27" s="375">
        <f t="shared" si="11"/>
        <v>4</v>
      </c>
      <c r="S27" s="106">
        <f t="shared" si="21"/>
        <v>0</v>
      </c>
      <c r="T27" s="385">
        <f t="shared" si="22"/>
        <v>1.02</v>
      </c>
      <c r="U27" s="394">
        <f t="shared" ref="U27:U53" ca="1" si="26">T27*$H$20</f>
        <v>504618298.52222782</v>
      </c>
      <c r="V27" s="381">
        <f t="shared" si="2"/>
        <v>0.35</v>
      </c>
      <c r="W27" s="395">
        <f t="shared" ref="W27:W53" ca="1" si="27">U27*V27</f>
        <v>176616404.48277974</v>
      </c>
      <c r="X27" s="384">
        <f t="shared" si="12"/>
        <v>21.346399999999999</v>
      </c>
      <c r="Y27" s="394">
        <f t="shared" ref="Y27:Y53" ca="1" si="28">MAX(X27*W27/1000-AA27,0)</f>
        <v>3770124.4166512094</v>
      </c>
      <c r="Z27" s="379">
        <f t="shared" si="13"/>
        <v>0.25</v>
      </c>
      <c r="AA27" s="395">
        <f t="shared" si="14"/>
        <v>0</v>
      </c>
      <c r="AB27" s="106">
        <f t="shared" ca="1" si="15"/>
        <v>3770124.4166512094</v>
      </c>
      <c r="AC27" s="396">
        <f t="shared" ca="1" si="16"/>
        <v>2827593.3124884069</v>
      </c>
      <c r="AD27" s="396">
        <f t="shared" ca="1" si="17"/>
        <v>2298856.3516165912</v>
      </c>
      <c r="AE27" s="396">
        <f t="shared" ca="1" si="3"/>
        <v>2298856.3516165912</v>
      </c>
    </row>
    <row r="28" spans="1:31" ht="14.4">
      <c r="A28" s="392">
        <f t="shared" si="18"/>
        <v>2</v>
      </c>
      <c r="B28" s="375">
        <f t="shared" si="4"/>
        <v>5</v>
      </c>
      <c r="C28" s="106">
        <f t="shared" si="19"/>
        <v>47361503.982024007</v>
      </c>
      <c r="D28" s="385">
        <f t="shared" si="20"/>
        <v>1.02</v>
      </c>
      <c r="E28" s="394">
        <f t="shared" ca="1" si="23"/>
        <v>504618298.52222782</v>
      </c>
      <c r="F28" s="381">
        <f t="shared" si="0"/>
        <v>0.35</v>
      </c>
      <c r="G28" s="395">
        <f t="shared" ca="1" si="24"/>
        <v>176616404.48277974</v>
      </c>
      <c r="H28" s="384">
        <f t="shared" si="5"/>
        <v>21.346399999999999</v>
      </c>
      <c r="I28" s="394">
        <f t="shared" ca="1" si="25"/>
        <v>3416275.2536405525</v>
      </c>
      <c r="J28" s="379">
        <f t="shared" si="6"/>
        <v>0.25</v>
      </c>
      <c r="K28" s="395">
        <f t="shared" si="7"/>
        <v>353849.16301065701</v>
      </c>
      <c r="L28" s="106">
        <f t="shared" ca="1" si="8"/>
        <v>3770124.4166512094</v>
      </c>
      <c r="M28" s="396">
        <f t="shared" ca="1" si="9"/>
        <v>2562206.4402304143</v>
      </c>
      <c r="N28" s="396">
        <f t="shared" ca="1" si="10"/>
        <v>2083094.6668539953</v>
      </c>
      <c r="O28" s="464">
        <f t="shared" ca="1" si="1"/>
        <v>2083094.6668539953</v>
      </c>
      <c r="P28" s="104"/>
      <c r="Q28" s="104"/>
      <c r="R28" s="375">
        <f t="shared" si="11"/>
        <v>5</v>
      </c>
      <c r="S28" s="106">
        <f t="shared" si="21"/>
        <v>0</v>
      </c>
      <c r="T28" s="385">
        <f t="shared" si="22"/>
        <v>1.02</v>
      </c>
      <c r="U28" s="394">
        <f t="shared" ca="1" si="26"/>
        <v>504618298.52222782</v>
      </c>
      <c r="V28" s="381">
        <f t="shared" si="2"/>
        <v>0.35</v>
      </c>
      <c r="W28" s="395">
        <f t="shared" ca="1" si="27"/>
        <v>176616404.48277974</v>
      </c>
      <c r="X28" s="384">
        <f t="shared" si="12"/>
        <v>21.346399999999999</v>
      </c>
      <c r="Y28" s="394">
        <f t="shared" ca="1" si="28"/>
        <v>3770124.4166512094</v>
      </c>
      <c r="Z28" s="379">
        <f t="shared" si="13"/>
        <v>0.25</v>
      </c>
      <c r="AA28" s="395">
        <f t="shared" si="14"/>
        <v>0</v>
      </c>
      <c r="AB28" s="106">
        <f t="shared" ca="1" si="15"/>
        <v>3770124.4166512094</v>
      </c>
      <c r="AC28" s="396">
        <f t="shared" ca="1" si="16"/>
        <v>2827593.3124884069</v>
      </c>
      <c r="AD28" s="396">
        <f t="shared" ca="1" si="17"/>
        <v>2298856.3516165912</v>
      </c>
      <c r="AE28" s="396">
        <f t="shared" ca="1" si="3"/>
        <v>2298856.3516165912</v>
      </c>
    </row>
    <row r="29" spans="1:31" ht="14.4">
      <c r="A29" s="392">
        <f t="shared" si="18"/>
        <v>0</v>
      </c>
      <c r="B29" s="375">
        <f t="shared" si="4"/>
        <v>6</v>
      </c>
      <c r="C29" s="106">
        <f t="shared" si="19"/>
        <v>49274908.742897779</v>
      </c>
      <c r="D29" s="385">
        <f t="shared" si="20"/>
        <v>1.0404</v>
      </c>
      <c r="E29" s="394">
        <f t="shared" ca="1" si="23"/>
        <v>514710664.49267238</v>
      </c>
      <c r="F29" s="381">
        <f t="shared" si="0"/>
        <v>0.35</v>
      </c>
      <c r="G29" s="395">
        <f t="shared" ca="1" si="24"/>
        <v>180148732.57243532</v>
      </c>
      <c r="H29" s="384">
        <f t="shared" si="5"/>
        <v>21.346399999999999</v>
      </c>
      <c r="I29" s="394">
        <f t="shared" ca="1" si="25"/>
        <v>3477382.2357879458</v>
      </c>
      <c r="J29" s="379">
        <f t="shared" si="6"/>
        <v>0.25</v>
      </c>
      <c r="K29" s="395">
        <f t="shared" si="7"/>
        <v>368144.66919628758</v>
      </c>
      <c r="L29" s="106">
        <f t="shared" ca="1" si="8"/>
        <v>3845526.9049842334</v>
      </c>
      <c r="M29" s="396">
        <f t="shared" ca="1" si="9"/>
        <v>2608036.6768409591</v>
      </c>
      <c r="N29" s="396">
        <f t="shared" ca="1" si="10"/>
        <v>2120355.021821918</v>
      </c>
      <c r="O29" s="464">
        <f t="shared" ca="1" si="1"/>
        <v>2120355.021821918</v>
      </c>
      <c r="P29" s="104"/>
      <c r="Q29" s="104"/>
      <c r="R29" s="375">
        <f t="shared" si="11"/>
        <v>6</v>
      </c>
      <c r="S29" s="106">
        <f t="shared" si="21"/>
        <v>0</v>
      </c>
      <c r="T29" s="385">
        <f t="shared" si="22"/>
        <v>1.0404</v>
      </c>
      <c r="U29" s="394">
        <f t="shared" ca="1" si="26"/>
        <v>514710664.49267238</v>
      </c>
      <c r="V29" s="381">
        <f t="shared" si="2"/>
        <v>0.35</v>
      </c>
      <c r="W29" s="395">
        <f t="shared" ca="1" si="27"/>
        <v>180148732.57243532</v>
      </c>
      <c r="X29" s="384">
        <f t="shared" si="12"/>
        <v>21.346399999999999</v>
      </c>
      <c r="Y29" s="394">
        <f t="shared" ca="1" si="28"/>
        <v>3845526.9049842334</v>
      </c>
      <c r="Z29" s="379">
        <f t="shared" si="13"/>
        <v>0.25</v>
      </c>
      <c r="AA29" s="395">
        <f t="shared" si="14"/>
        <v>0</v>
      </c>
      <c r="AB29" s="106">
        <f t="shared" ca="1" si="15"/>
        <v>3845526.9049842334</v>
      </c>
      <c r="AC29" s="396">
        <f t="shared" ca="1" si="16"/>
        <v>2884145.178738175</v>
      </c>
      <c r="AD29" s="396">
        <f t="shared" ca="1" si="17"/>
        <v>2344833.4786489229</v>
      </c>
      <c r="AE29" s="396">
        <f t="shared" ca="1" si="3"/>
        <v>2344833.4786489229</v>
      </c>
    </row>
    <row r="30" spans="1:31" ht="14.4">
      <c r="A30" s="392">
        <f t="shared" si="18"/>
        <v>1</v>
      </c>
      <c r="B30" s="375">
        <f t="shared" si="4"/>
        <v>7</v>
      </c>
      <c r="C30" s="106">
        <f t="shared" si="19"/>
        <v>51265615.056110851</v>
      </c>
      <c r="D30" s="385">
        <f t="shared" si="20"/>
        <v>1.0404</v>
      </c>
      <c r="E30" s="394">
        <f t="shared" ca="1" si="23"/>
        <v>514710664.49267238</v>
      </c>
      <c r="F30" s="381">
        <f t="shared" si="0"/>
        <v>0.35</v>
      </c>
      <c r="G30" s="395">
        <f t="shared" ca="1" si="24"/>
        <v>180148732.57243532</v>
      </c>
      <c r="H30" s="384">
        <f t="shared" si="5"/>
        <v>21.346399999999999</v>
      </c>
      <c r="I30" s="394">
        <f t="shared" ca="1" si="25"/>
        <v>3462509.1911524157</v>
      </c>
      <c r="J30" s="379">
        <f t="shared" si="6"/>
        <v>0.25</v>
      </c>
      <c r="K30" s="395">
        <f t="shared" si="7"/>
        <v>383017.71383181756</v>
      </c>
      <c r="L30" s="106">
        <f t="shared" ca="1" si="8"/>
        <v>3845526.9049842334</v>
      </c>
      <c r="M30" s="396">
        <f t="shared" ca="1" si="9"/>
        <v>2596881.8933643117</v>
      </c>
      <c r="N30" s="396">
        <f t="shared" ca="1" si="10"/>
        <v>2111286.0921661071</v>
      </c>
      <c r="O30" s="464">
        <f t="shared" ca="1" si="1"/>
        <v>2111286.0921661071</v>
      </c>
      <c r="P30" s="104"/>
      <c r="Q30" s="104"/>
      <c r="R30" s="375">
        <f t="shared" si="11"/>
        <v>7</v>
      </c>
      <c r="S30" s="106">
        <f t="shared" si="21"/>
        <v>0</v>
      </c>
      <c r="T30" s="385">
        <f t="shared" si="22"/>
        <v>1.0404</v>
      </c>
      <c r="U30" s="394">
        <f t="shared" ca="1" si="26"/>
        <v>514710664.49267238</v>
      </c>
      <c r="V30" s="381">
        <f t="shared" si="2"/>
        <v>0.35</v>
      </c>
      <c r="W30" s="395">
        <f t="shared" ca="1" si="27"/>
        <v>180148732.57243532</v>
      </c>
      <c r="X30" s="384">
        <f t="shared" si="12"/>
        <v>21.346399999999999</v>
      </c>
      <c r="Y30" s="394">
        <f t="shared" ca="1" si="28"/>
        <v>3845526.9049842334</v>
      </c>
      <c r="Z30" s="379">
        <f t="shared" si="13"/>
        <v>0.25</v>
      </c>
      <c r="AA30" s="395">
        <f t="shared" si="14"/>
        <v>0</v>
      </c>
      <c r="AB30" s="106">
        <f t="shared" ca="1" si="15"/>
        <v>3845526.9049842334</v>
      </c>
      <c r="AC30" s="396">
        <f t="shared" ca="1" si="16"/>
        <v>2884145.178738175</v>
      </c>
      <c r="AD30" s="396">
        <f t="shared" ca="1" si="17"/>
        <v>2344833.4786489229</v>
      </c>
      <c r="AE30" s="396">
        <f t="shared" ca="1" si="3"/>
        <v>2344833.4786489229</v>
      </c>
    </row>
    <row r="31" spans="1:31" ht="14.4">
      <c r="A31" s="392">
        <f t="shared" si="18"/>
        <v>2</v>
      </c>
      <c r="B31" s="375">
        <f t="shared" si="4"/>
        <v>8</v>
      </c>
      <c r="C31" s="106">
        <f t="shared" si="19"/>
        <v>53336745.904377729</v>
      </c>
      <c r="D31" s="385">
        <f t="shared" si="20"/>
        <v>1.0404</v>
      </c>
      <c r="E31" s="394">
        <f t="shared" ca="1" si="23"/>
        <v>514710664.49267238</v>
      </c>
      <c r="F31" s="381">
        <f t="shared" si="0"/>
        <v>0.35</v>
      </c>
      <c r="G31" s="395">
        <f t="shared" ca="1" si="24"/>
        <v>180148732.57243532</v>
      </c>
      <c r="H31" s="384">
        <f t="shared" si="5"/>
        <v>21.346399999999999</v>
      </c>
      <c r="I31" s="394">
        <f t="shared" ca="1" si="25"/>
        <v>3447035.2755136103</v>
      </c>
      <c r="J31" s="379">
        <f t="shared" si="6"/>
        <v>0.25</v>
      </c>
      <c r="K31" s="395">
        <f t="shared" si="7"/>
        <v>398491.62947062304</v>
      </c>
      <c r="L31" s="106">
        <f t="shared" ca="1" si="8"/>
        <v>3845526.9049842334</v>
      </c>
      <c r="M31" s="396">
        <f t="shared" ca="1" si="9"/>
        <v>2585276.4566352079</v>
      </c>
      <c r="N31" s="396">
        <f t="shared" ca="1" si="10"/>
        <v>2101850.7777522015</v>
      </c>
      <c r="O31" s="464">
        <f t="shared" ca="1" si="1"/>
        <v>2101850.7777522015</v>
      </c>
      <c r="P31" s="104"/>
      <c r="Q31" s="104"/>
      <c r="R31" s="375">
        <f t="shared" si="11"/>
        <v>8</v>
      </c>
      <c r="S31" s="106">
        <f t="shared" si="21"/>
        <v>0</v>
      </c>
      <c r="T31" s="385">
        <f t="shared" si="22"/>
        <v>1.0404</v>
      </c>
      <c r="U31" s="394">
        <f t="shared" ca="1" si="26"/>
        <v>514710664.49267238</v>
      </c>
      <c r="V31" s="381">
        <f t="shared" si="2"/>
        <v>0.35</v>
      </c>
      <c r="W31" s="395">
        <f t="shared" ca="1" si="27"/>
        <v>180148732.57243532</v>
      </c>
      <c r="X31" s="384">
        <f t="shared" si="12"/>
        <v>21.346399999999999</v>
      </c>
      <c r="Y31" s="394">
        <f t="shared" ca="1" si="28"/>
        <v>3845526.9049842334</v>
      </c>
      <c r="Z31" s="379">
        <f t="shared" si="13"/>
        <v>0.25</v>
      </c>
      <c r="AA31" s="395">
        <f t="shared" si="14"/>
        <v>0</v>
      </c>
      <c r="AB31" s="106">
        <f t="shared" ca="1" si="15"/>
        <v>3845526.9049842334</v>
      </c>
      <c r="AC31" s="396">
        <f t="shared" ca="1" si="16"/>
        <v>2884145.178738175</v>
      </c>
      <c r="AD31" s="396">
        <f t="shared" ca="1" si="17"/>
        <v>2344833.4786489229</v>
      </c>
      <c r="AE31" s="396">
        <f t="shared" ca="1" si="3"/>
        <v>2344833.4786489229</v>
      </c>
    </row>
    <row r="32" spans="1:31" ht="14.4">
      <c r="A32" s="392">
        <f t="shared" si="18"/>
        <v>0</v>
      </c>
      <c r="B32" s="375">
        <f t="shared" si="4"/>
        <v>9</v>
      </c>
      <c r="C32" s="106">
        <f t="shared" si="19"/>
        <v>56601381.447692879</v>
      </c>
      <c r="D32" s="385">
        <f t="shared" si="20"/>
        <v>1.0612079999999999</v>
      </c>
      <c r="E32" s="394">
        <f t="shared" ca="1" si="23"/>
        <v>525004877.78252578</v>
      </c>
      <c r="F32" s="381">
        <f t="shared" si="0"/>
        <v>0.35</v>
      </c>
      <c r="G32" s="395">
        <f t="shared" ca="1" si="24"/>
        <v>183751707.22388402</v>
      </c>
      <c r="H32" s="384">
        <f t="shared" si="5"/>
        <v>21.346399999999999</v>
      </c>
      <c r="I32" s="394">
        <f t="shared" ca="1" si="25"/>
        <v>3499554.9379566568</v>
      </c>
      <c r="J32" s="379">
        <f t="shared" si="6"/>
        <v>0.25</v>
      </c>
      <c r="K32" s="395">
        <f t="shared" si="7"/>
        <v>422882.50512726087</v>
      </c>
      <c r="L32" s="106">
        <f t="shared" ca="1" si="8"/>
        <v>3922437.4430839177</v>
      </c>
      <c r="M32" s="396">
        <f t="shared" ca="1" si="9"/>
        <v>2624666.2034674925</v>
      </c>
      <c r="N32" s="396">
        <f t="shared" ca="1" si="10"/>
        <v>2133874.9621686931</v>
      </c>
      <c r="O32" s="464">
        <f t="shared" ca="1" si="1"/>
        <v>2133874.9621686931</v>
      </c>
      <c r="P32" s="361"/>
      <c r="Q32" s="104"/>
      <c r="R32" s="375">
        <f t="shared" si="11"/>
        <v>9</v>
      </c>
      <c r="S32" s="106">
        <f t="shared" si="21"/>
        <v>0</v>
      </c>
      <c r="T32" s="385">
        <f t="shared" si="22"/>
        <v>1.0612079999999999</v>
      </c>
      <c r="U32" s="394">
        <f t="shared" ca="1" si="26"/>
        <v>525004877.78252578</v>
      </c>
      <c r="V32" s="381">
        <f t="shared" si="2"/>
        <v>0.35</v>
      </c>
      <c r="W32" s="395">
        <f t="shared" ca="1" si="27"/>
        <v>183751707.22388402</v>
      </c>
      <c r="X32" s="384">
        <f t="shared" si="12"/>
        <v>21.346399999999999</v>
      </c>
      <c r="Y32" s="394">
        <f t="shared" ca="1" si="28"/>
        <v>3922437.4430839177</v>
      </c>
      <c r="Z32" s="379">
        <f t="shared" si="13"/>
        <v>0.25</v>
      </c>
      <c r="AA32" s="395">
        <f t="shared" si="14"/>
        <v>0</v>
      </c>
      <c r="AB32" s="106">
        <f t="shared" ca="1" si="15"/>
        <v>3922437.4430839177</v>
      </c>
      <c r="AC32" s="396">
        <f t="shared" ca="1" si="16"/>
        <v>2941828.0823129383</v>
      </c>
      <c r="AD32" s="396">
        <f t="shared" ca="1" si="17"/>
        <v>2391730.1482219012</v>
      </c>
      <c r="AE32" s="396">
        <f t="shared" ca="1" si="3"/>
        <v>2391730.1482219012</v>
      </c>
    </row>
    <row r="33" spans="1:31" ht="14.4">
      <c r="A33" s="392">
        <f t="shared" si="18"/>
        <v>1</v>
      </c>
      <c r="B33" s="375">
        <f t="shared" si="4"/>
        <v>10</v>
      </c>
      <c r="C33" s="106">
        <f t="shared" si="19"/>
        <v>60065838.803343259</v>
      </c>
      <c r="D33" s="385">
        <f t="shared" si="20"/>
        <v>1.0612079999999999</v>
      </c>
      <c r="E33" s="394">
        <f t="shared" ca="1" si="23"/>
        <v>525004877.78252578</v>
      </c>
      <c r="F33" s="381">
        <f t="shared" si="0"/>
        <v>0.35</v>
      </c>
      <c r="G33" s="395">
        <f t="shared" ca="1" si="24"/>
        <v>183751707.22388402</v>
      </c>
      <c r="H33" s="384">
        <f t="shared" si="5"/>
        <v>21.346399999999999</v>
      </c>
      <c r="I33" s="394">
        <f t="shared" ca="1" si="25"/>
        <v>3473671.1455828277</v>
      </c>
      <c r="J33" s="379">
        <f t="shared" si="6"/>
        <v>0.25</v>
      </c>
      <c r="K33" s="395">
        <f t="shared" si="7"/>
        <v>448766.29750109022</v>
      </c>
      <c r="L33" s="106">
        <f t="shared" ca="1" si="8"/>
        <v>3922437.4430839177</v>
      </c>
      <c r="M33" s="396">
        <f t="shared" ca="1" si="9"/>
        <v>2605253.3591871206</v>
      </c>
      <c r="N33" s="396">
        <f t="shared" ca="1" si="10"/>
        <v>2118092.1619407483</v>
      </c>
      <c r="O33" s="464">
        <f t="shared" ca="1" si="1"/>
        <v>2118092.1619407483</v>
      </c>
      <c r="P33" s="106"/>
      <c r="Q33" s="104"/>
      <c r="R33" s="375">
        <f t="shared" si="11"/>
        <v>10</v>
      </c>
      <c r="S33" s="106">
        <f t="shared" si="21"/>
        <v>0</v>
      </c>
      <c r="T33" s="385">
        <f t="shared" si="22"/>
        <v>1.0612079999999999</v>
      </c>
      <c r="U33" s="394">
        <f t="shared" ca="1" si="26"/>
        <v>525004877.78252578</v>
      </c>
      <c r="V33" s="381">
        <f t="shared" si="2"/>
        <v>0.35</v>
      </c>
      <c r="W33" s="395">
        <f t="shared" ca="1" si="27"/>
        <v>183751707.22388402</v>
      </c>
      <c r="X33" s="384">
        <f t="shared" si="12"/>
        <v>21.346399999999999</v>
      </c>
      <c r="Y33" s="394">
        <f t="shared" ca="1" si="28"/>
        <v>3922437.4430839177</v>
      </c>
      <c r="Z33" s="379">
        <f t="shared" si="13"/>
        <v>0.25</v>
      </c>
      <c r="AA33" s="395">
        <f t="shared" si="14"/>
        <v>0</v>
      </c>
      <c r="AB33" s="106">
        <f t="shared" ca="1" si="15"/>
        <v>3922437.4430839177</v>
      </c>
      <c r="AC33" s="396">
        <f t="shared" ca="1" si="16"/>
        <v>2941828.0823129383</v>
      </c>
      <c r="AD33" s="396">
        <f t="shared" ca="1" si="17"/>
        <v>2391730.1482219012</v>
      </c>
      <c r="AE33" s="396">
        <f t="shared" ca="1" si="3"/>
        <v>2391730.1482219012</v>
      </c>
    </row>
    <row r="34" spans="1:31" ht="14.4">
      <c r="A34" s="392">
        <f t="shared" si="18"/>
        <v>2</v>
      </c>
      <c r="B34" s="375">
        <f t="shared" si="4"/>
        <v>11</v>
      </c>
      <c r="C34" s="106">
        <f t="shared" si="19"/>
        <v>63742348.664818287</v>
      </c>
      <c r="D34" s="385">
        <f t="shared" si="20"/>
        <v>1.0612079999999999</v>
      </c>
      <c r="E34" s="394">
        <f t="shared" ca="1" si="23"/>
        <v>525004877.78252578</v>
      </c>
      <c r="F34" s="381">
        <f t="shared" si="0"/>
        <v>0.35</v>
      </c>
      <c r="G34" s="395">
        <f t="shared" ca="1" si="24"/>
        <v>183751707.22388402</v>
      </c>
      <c r="H34" s="384">
        <f t="shared" si="5"/>
        <v>21.346399999999999</v>
      </c>
      <c r="I34" s="394">
        <f t="shared" ca="1" si="25"/>
        <v>3446203.0580453807</v>
      </c>
      <c r="J34" s="379">
        <f t="shared" si="6"/>
        <v>0.25</v>
      </c>
      <c r="K34" s="395">
        <f t="shared" si="7"/>
        <v>476234.38503853692</v>
      </c>
      <c r="L34" s="106">
        <f t="shared" ca="1" si="8"/>
        <v>3922437.4430839177</v>
      </c>
      <c r="M34" s="396">
        <f t="shared" ca="1" si="9"/>
        <v>2584652.2935340358</v>
      </c>
      <c r="N34" s="396">
        <f t="shared" ca="1" si="10"/>
        <v>2101343.328076452</v>
      </c>
      <c r="O34" s="464">
        <f t="shared" ca="1" si="1"/>
        <v>2101343.328076452</v>
      </c>
      <c r="P34" s="106"/>
      <c r="Q34" s="104"/>
      <c r="R34" s="375">
        <f t="shared" si="11"/>
        <v>11</v>
      </c>
      <c r="S34" s="106">
        <f t="shared" si="21"/>
        <v>0</v>
      </c>
      <c r="T34" s="385">
        <f t="shared" si="22"/>
        <v>1.0612079999999999</v>
      </c>
      <c r="U34" s="394">
        <f t="shared" ca="1" si="26"/>
        <v>525004877.78252578</v>
      </c>
      <c r="V34" s="381">
        <f t="shared" si="2"/>
        <v>0.35</v>
      </c>
      <c r="W34" s="395">
        <f t="shared" ca="1" si="27"/>
        <v>183751707.22388402</v>
      </c>
      <c r="X34" s="384">
        <f t="shared" si="12"/>
        <v>21.346399999999999</v>
      </c>
      <c r="Y34" s="394">
        <f t="shared" ca="1" si="28"/>
        <v>3922437.4430839177</v>
      </c>
      <c r="Z34" s="379">
        <f t="shared" si="13"/>
        <v>0.25</v>
      </c>
      <c r="AA34" s="395">
        <f t="shared" si="14"/>
        <v>0</v>
      </c>
      <c r="AB34" s="106">
        <f t="shared" ca="1" si="15"/>
        <v>3922437.4430839177</v>
      </c>
      <c r="AC34" s="396">
        <f t="shared" ca="1" si="16"/>
        <v>2941828.0823129383</v>
      </c>
      <c r="AD34" s="396">
        <f t="shared" ca="1" si="17"/>
        <v>2391730.1482219012</v>
      </c>
      <c r="AE34" s="396">
        <f t="shared" ca="1" si="3"/>
        <v>2391730.1482219012</v>
      </c>
    </row>
    <row r="35" spans="1:31" ht="14.4">
      <c r="A35" s="392">
        <f t="shared" si="18"/>
        <v>0</v>
      </c>
      <c r="B35" s="375">
        <f t="shared" si="4"/>
        <v>12</v>
      </c>
      <c r="C35" s="106">
        <f t="shared" si="19"/>
        <v>68996768.148732379</v>
      </c>
      <c r="D35" s="385">
        <f t="shared" si="20"/>
        <v>1.08243216</v>
      </c>
      <c r="E35" s="394">
        <f t="shared" ca="1" si="23"/>
        <v>535504975.33817637</v>
      </c>
      <c r="F35" s="381">
        <f t="shared" si="0"/>
        <v>0.35</v>
      </c>
      <c r="G35" s="395">
        <f t="shared" ca="1" si="24"/>
        <v>187426741.36836171</v>
      </c>
      <c r="H35" s="384">
        <f t="shared" si="5"/>
        <v>21.346399999999999</v>
      </c>
      <c r="I35" s="394">
        <f t="shared" ca="1" si="25"/>
        <v>3485394.777882061</v>
      </c>
      <c r="J35" s="379">
        <f t="shared" si="6"/>
        <v>0.25</v>
      </c>
      <c r="K35" s="395">
        <f t="shared" si="7"/>
        <v>515491.41406353522</v>
      </c>
      <c r="L35" s="106">
        <f t="shared" ca="1" si="8"/>
        <v>4000886.1919455961</v>
      </c>
      <c r="M35" s="396">
        <f t="shared" ca="1" si="9"/>
        <v>2614046.0834115455</v>
      </c>
      <c r="N35" s="396">
        <f t="shared" ca="1" si="10"/>
        <v>2125240.7182207685</v>
      </c>
      <c r="O35" s="464">
        <f t="shared" ca="1" si="1"/>
        <v>2125240.7182207685</v>
      </c>
      <c r="P35" s="106"/>
      <c r="Q35" s="104"/>
      <c r="R35" s="375">
        <f t="shared" si="11"/>
        <v>12</v>
      </c>
      <c r="S35" s="106">
        <f t="shared" si="21"/>
        <v>0</v>
      </c>
      <c r="T35" s="385">
        <f t="shared" si="22"/>
        <v>1.08243216</v>
      </c>
      <c r="U35" s="394">
        <f t="shared" ca="1" si="26"/>
        <v>535504975.33817637</v>
      </c>
      <c r="V35" s="381">
        <f t="shared" si="2"/>
        <v>0.35</v>
      </c>
      <c r="W35" s="395">
        <f t="shared" ca="1" si="27"/>
        <v>187426741.36836171</v>
      </c>
      <c r="X35" s="384">
        <f t="shared" si="12"/>
        <v>21.346399999999999</v>
      </c>
      <c r="Y35" s="394">
        <f t="shared" ca="1" si="28"/>
        <v>4000886.1919455961</v>
      </c>
      <c r="Z35" s="379">
        <f t="shared" si="13"/>
        <v>0.25</v>
      </c>
      <c r="AA35" s="395">
        <f t="shared" si="14"/>
        <v>0</v>
      </c>
      <c r="AB35" s="106">
        <f t="shared" ca="1" si="15"/>
        <v>4000886.1919455961</v>
      </c>
      <c r="AC35" s="396">
        <f t="shared" ca="1" si="16"/>
        <v>3000664.6439591972</v>
      </c>
      <c r="AD35" s="396">
        <f t="shared" ca="1" si="17"/>
        <v>2439564.7511863392</v>
      </c>
      <c r="AE35" s="396">
        <f t="shared" ca="1" si="3"/>
        <v>2439564.7511863392</v>
      </c>
    </row>
    <row r="36" spans="1:31" ht="14.4">
      <c r="A36" s="392">
        <f t="shared" si="18"/>
        <v>1</v>
      </c>
      <c r="B36" s="375">
        <f t="shared" si="4"/>
        <v>13</v>
      </c>
      <c r="C36" s="106">
        <f t="shared" si="19"/>
        <v>74684320.780251592</v>
      </c>
      <c r="D36" s="385">
        <f t="shared" si="20"/>
        <v>1.08243216</v>
      </c>
      <c r="E36" s="394">
        <f t="shared" ca="1" si="23"/>
        <v>535504975.33817637</v>
      </c>
      <c r="F36" s="381">
        <f t="shared" si="0"/>
        <v>0.35</v>
      </c>
      <c r="G36" s="395">
        <f t="shared" ca="1" si="24"/>
        <v>187426741.36836171</v>
      </c>
      <c r="H36" s="384">
        <f t="shared" si="5"/>
        <v>21.346399999999999</v>
      </c>
      <c r="I36" s="394">
        <f t="shared" ca="1" si="25"/>
        <v>3442901.7071593492</v>
      </c>
      <c r="J36" s="379">
        <f t="shared" si="6"/>
        <v>0.25</v>
      </c>
      <c r="K36" s="395">
        <f t="shared" si="7"/>
        <v>557984.48478624679</v>
      </c>
      <c r="L36" s="106">
        <f t="shared" ca="1" si="8"/>
        <v>4000886.1919455961</v>
      </c>
      <c r="M36" s="396">
        <f t="shared" ca="1" si="9"/>
        <v>2582176.2803695118</v>
      </c>
      <c r="N36" s="396">
        <f t="shared" ca="1" si="10"/>
        <v>2099330.3092435054</v>
      </c>
      <c r="O36" s="464">
        <f t="shared" ca="1" si="1"/>
        <v>2099330.3092435054</v>
      </c>
      <c r="P36" s="106"/>
      <c r="Q36" s="104"/>
      <c r="R36" s="375">
        <f t="shared" si="11"/>
        <v>13</v>
      </c>
      <c r="S36" s="106">
        <f t="shared" si="21"/>
        <v>0</v>
      </c>
      <c r="T36" s="385">
        <f t="shared" si="22"/>
        <v>1.08243216</v>
      </c>
      <c r="U36" s="394">
        <f t="shared" ca="1" si="26"/>
        <v>535504975.33817637</v>
      </c>
      <c r="V36" s="381">
        <f t="shared" si="2"/>
        <v>0.35</v>
      </c>
      <c r="W36" s="395">
        <f t="shared" ca="1" si="27"/>
        <v>187426741.36836171</v>
      </c>
      <c r="X36" s="384">
        <f t="shared" si="12"/>
        <v>21.346399999999999</v>
      </c>
      <c r="Y36" s="394">
        <f t="shared" ca="1" si="28"/>
        <v>4000886.1919455961</v>
      </c>
      <c r="Z36" s="379">
        <f t="shared" si="13"/>
        <v>0.25</v>
      </c>
      <c r="AA36" s="395">
        <f t="shared" si="14"/>
        <v>0</v>
      </c>
      <c r="AB36" s="106">
        <f t="shared" ca="1" si="15"/>
        <v>4000886.1919455961</v>
      </c>
      <c r="AC36" s="396">
        <f t="shared" ca="1" si="16"/>
        <v>3000664.6439591972</v>
      </c>
      <c r="AD36" s="396">
        <f t="shared" ca="1" si="17"/>
        <v>2439564.7511863392</v>
      </c>
      <c r="AE36" s="396">
        <f t="shared" ca="1" si="3"/>
        <v>2439564.7511863392</v>
      </c>
    </row>
    <row r="37" spans="1:31" ht="14.4">
      <c r="A37" s="392">
        <f t="shared" si="18"/>
        <v>2</v>
      </c>
      <c r="B37" s="375">
        <f t="shared" si="4"/>
        <v>14</v>
      </c>
      <c r="C37" s="106">
        <f t="shared" si="19"/>
        <v>80840710.660300612</v>
      </c>
      <c r="D37" s="385">
        <f t="shared" si="20"/>
        <v>1.08243216</v>
      </c>
      <c r="E37" s="394">
        <f t="shared" ca="1" si="23"/>
        <v>535504975.33817637</v>
      </c>
      <c r="F37" s="381">
        <f t="shared" si="0"/>
        <v>0.35</v>
      </c>
      <c r="G37" s="395">
        <f t="shared" ca="1" si="24"/>
        <v>187426741.36836171</v>
      </c>
      <c r="H37" s="384">
        <f t="shared" si="5"/>
        <v>21.346399999999999</v>
      </c>
      <c r="I37" s="394">
        <f t="shared" ca="1" si="25"/>
        <v>3396905.8408319317</v>
      </c>
      <c r="J37" s="379">
        <f t="shared" si="6"/>
        <v>0.25</v>
      </c>
      <c r="K37" s="395">
        <f t="shared" si="7"/>
        <v>603980.35111366422</v>
      </c>
      <c r="L37" s="106">
        <f t="shared" ca="1" si="8"/>
        <v>4000886.1919455957</v>
      </c>
      <c r="M37" s="396">
        <f t="shared" ca="1" si="9"/>
        <v>2547679.3806239488</v>
      </c>
      <c r="N37" s="396">
        <f t="shared" ca="1" si="10"/>
        <v>2071284.0492877632</v>
      </c>
      <c r="O37" s="464">
        <f t="shared" ca="1" si="1"/>
        <v>2071284.0492877632</v>
      </c>
      <c r="P37" s="106"/>
      <c r="Q37" s="104"/>
      <c r="R37" s="375">
        <f t="shared" si="11"/>
        <v>14</v>
      </c>
      <c r="S37" s="106">
        <f t="shared" si="21"/>
        <v>0</v>
      </c>
      <c r="T37" s="385">
        <f t="shared" si="22"/>
        <v>1.08243216</v>
      </c>
      <c r="U37" s="394">
        <f t="shared" ca="1" si="26"/>
        <v>535504975.33817637</v>
      </c>
      <c r="V37" s="381">
        <f t="shared" si="2"/>
        <v>0.35</v>
      </c>
      <c r="W37" s="395">
        <f t="shared" ca="1" si="27"/>
        <v>187426741.36836171</v>
      </c>
      <c r="X37" s="384">
        <f t="shared" si="12"/>
        <v>21.346399999999999</v>
      </c>
      <c r="Y37" s="394">
        <f t="shared" ca="1" si="28"/>
        <v>4000886.1919455961</v>
      </c>
      <c r="Z37" s="379">
        <f t="shared" si="13"/>
        <v>0.25</v>
      </c>
      <c r="AA37" s="395">
        <f t="shared" si="14"/>
        <v>0</v>
      </c>
      <c r="AB37" s="106">
        <f t="shared" ca="1" si="15"/>
        <v>4000886.1919455961</v>
      </c>
      <c r="AC37" s="396">
        <f t="shared" ca="1" si="16"/>
        <v>3000664.6439591972</v>
      </c>
      <c r="AD37" s="396">
        <f t="shared" ca="1" si="17"/>
        <v>2439564.7511863392</v>
      </c>
      <c r="AE37" s="396">
        <f t="shared" ca="1" si="3"/>
        <v>2439564.7511863392</v>
      </c>
    </row>
    <row r="38" spans="1:31" ht="14.4">
      <c r="A38" s="392">
        <f t="shared" si="18"/>
        <v>0</v>
      </c>
      <c r="B38" s="375">
        <f t="shared" si="4"/>
        <v>15</v>
      </c>
      <c r="C38" s="106">
        <f t="shared" si="19"/>
        <v>89254676.757083505</v>
      </c>
      <c r="D38" s="385">
        <f t="shared" si="20"/>
        <v>1.1040808032</v>
      </c>
      <c r="E38" s="394">
        <f t="shared" ca="1" si="23"/>
        <v>546215074.84493983</v>
      </c>
      <c r="F38" s="381">
        <f t="shared" si="0"/>
        <v>0.35</v>
      </c>
      <c r="G38" s="395">
        <f t="shared" ca="1" si="24"/>
        <v>191175276.19572893</v>
      </c>
      <c r="H38" s="384">
        <f t="shared" si="5"/>
        <v>21.346399999999999</v>
      </c>
      <c r="I38" s="394">
        <f t="shared" ca="1" si="25"/>
        <v>3414060.8046099152</v>
      </c>
      <c r="J38" s="379">
        <f t="shared" si="6"/>
        <v>0.25</v>
      </c>
      <c r="K38" s="395">
        <f t="shared" si="7"/>
        <v>666843.11117459252</v>
      </c>
      <c r="L38" s="106">
        <f t="shared" ca="1" si="8"/>
        <v>4080903.915784508</v>
      </c>
      <c r="M38" s="396">
        <f t="shared" ca="1" si="9"/>
        <v>2560545.6034574364</v>
      </c>
      <c r="N38" s="396">
        <f t="shared" ca="1" si="10"/>
        <v>2081744.3930548264</v>
      </c>
      <c r="O38" s="464">
        <f t="shared" ca="1" si="1"/>
        <v>2081744.3930548264</v>
      </c>
      <c r="P38" s="106"/>
      <c r="Q38" s="104"/>
      <c r="R38" s="375">
        <f t="shared" si="11"/>
        <v>15</v>
      </c>
      <c r="S38" s="106">
        <f t="shared" si="21"/>
        <v>0</v>
      </c>
      <c r="T38" s="385">
        <f t="shared" si="22"/>
        <v>1.1040808032</v>
      </c>
      <c r="U38" s="394">
        <f t="shared" ca="1" si="26"/>
        <v>546215074.84493983</v>
      </c>
      <c r="V38" s="381">
        <f t="shared" si="2"/>
        <v>0.35</v>
      </c>
      <c r="W38" s="395">
        <f t="shared" ca="1" si="27"/>
        <v>191175276.19572893</v>
      </c>
      <c r="X38" s="384">
        <f t="shared" si="12"/>
        <v>21.346399999999999</v>
      </c>
      <c r="Y38" s="394">
        <f t="shared" ca="1" si="28"/>
        <v>4080903.9157845075</v>
      </c>
      <c r="Z38" s="379">
        <f t="shared" si="13"/>
        <v>0.25</v>
      </c>
      <c r="AA38" s="395">
        <f t="shared" si="14"/>
        <v>0</v>
      </c>
      <c r="AB38" s="106">
        <f t="shared" ca="1" si="15"/>
        <v>4080903.9157845075</v>
      </c>
      <c r="AC38" s="396">
        <f t="shared" ca="1" si="16"/>
        <v>3060677.9368383805</v>
      </c>
      <c r="AD38" s="396">
        <f t="shared" ca="1" si="17"/>
        <v>2488356.0462100655</v>
      </c>
      <c r="AE38" s="396">
        <f t="shared" ca="1" si="3"/>
        <v>2488356.0462100655</v>
      </c>
    </row>
    <row r="39" spans="1:31" ht="14.4">
      <c r="A39" s="392">
        <f t="shared" si="18"/>
        <v>1</v>
      </c>
      <c r="B39" s="375">
        <f t="shared" si="4"/>
        <v>16</v>
      </c>
      <c r="C39" s="106">
        <f t="shared" si="19"/>
        <v>98544375.203317136</v>
      </c>
      <c r="D39" s="385">
        <f t="shared" si="20"/>
        <v>1.1040808032</v>
      </c>
      <c r="E39" s="394">
        <f t="shared" ca="1" si="23"/>
        <v>546215074.84493983</v>
      </c>
      <c r="F39" s="381">
        <f t="shared" si="0"/>
        <v>0.35</v>
      </c>
      <c r="G39" s="395">
        <f t="shared" ca="1" si="24"/>
        <v>191175276.19572893</v>
      </c>
      <c r="H39" s="384">
        <f t="shared" si="5"/>
        <v>21.346399999999999</v>
      </c>
      <c r="I39" s="394">
        <f t="shared" ca="1" si="25"/>
        <v>3344655.2379904767</v>
      </c>
      <c r="J39" s="379">
        <f t="shared" si="6"/>
        <v>0.25</v>
      </c>
      <c r="K39" s="395">
        <f t="shared" si="7"/>
        <v>736248.67779403098</v>
      </c>
      <c r="L39" s="106">
        <f t="shared" ca="1" si="8"/>
        <v>4080903.9157845075</v>
      </c>
      <c r="M39" s="396">
        <f t="shared" ca="1" si="9"/>
        <v>2508491.4284928576</v>
      </c>
      <c r="N39" s="396">
        <f t="shared" ca="1" si="10"/>
        <v>2039423.9256039492</v>
      </c>
      <c r="O39" s="464">
        <f t="shared" ca="1" si="1"/>
        <v>2039423.9256039492</v>
      </c>
      <c r="P39" s="104"/>
      <c r="Q39" s="104"/>
      <c r="R39" s="375">
        <f t="shared" si="11"/>
        <v>16</v>
      </c>
      <c r="S39" s="106">
        <f t="shared" si="21"/>
        <v>0</v>
      </c>
      <c r="T39" s="385">
        <f t="shared" si="22"/>
        <v>1.1040808032</v>
      </c>
      <c r="U39" s="394">
        <f t="shared" ca="1" si="26"/>
        <v>546215074.84493983</v>
      </c>
      <c r="V39" s="381">
        <f t="shared" si="2"/>
        <v>0.35</v>
      </c>
      <c r="W39" s="395">
        <f t="shared" ca="1" si="27"/>
        <v>191175276.19572893</v>
      </c>
      <c r="X39" s="384">
        <f t="shared" si="12"/>
        <v>21.346399999999999</v>
      </c>
      <c r="Y39" s="394">
        <f t="shared" ca="1" si="28"/>
        <v>4080903.9157845075</v>
      </c>
      <c r="Z39" s="379">
        <f t="shared" si="13"/>
        <v>0.25</v>
      </c>
      <c r="AA39" s="395">
        <f t="shared" si="14"/>
        <v>0</v>
      </c>
      <c r="AB39" s="106">
        <f t="shared" ca="1" si="15"/>
        <v>4080903.9157845075</v>
      </c>
      <c r="AC39" s="396">
        <f t="shared" ca="1" si="16"/>
        <v>3060677.9368383805</v>
      </c>
      <c r="AD39" s="396">
        <f t="shared" ca="1" si="17"/>
        <v>2488356.0462100655</v>
      </c>
      <c r="AE39" s="396">
        <f t="shared" ca="1" si="3"/>
        <v>2488356.0462100655</v>
      </c>
    </row>
    <row r="40" spans="1:31" ht="14.4">
      <c r="A40" s="392">
        <f t="shared" si="18"/>
        <v>2</v>
      </c>
      <c r="B40" s="375">
        <f t="shared" si="4"/>
        <v>17</v>
      </c>
      <c r="C40" s="106">
        <f t="shared" si="19"/>
        <v>108800952.92532055</v>
      </c>
      <c r="D40" s="385">
        <f t="shared" si="20"/>
        <v>1.1040808032</v>
      </c>
      <c r="E40" s="394">
        <f t="shared" ca="1" si="23"/>
        <v>546215074.84493983</v>
      </c>
      <c r="F40" s="381">
        <f t="shared" si="0"/>
        <v>0.35</v>
      </c>
      <c r="G40" s="395">
        <f t="shared" ca="1" si="24"/>
        <v>191175276.19572893</v>
      </c>
      <c r="H40" s="384">
        <f t="shared" si="5"/>
        <v>21.346399999999999</v>
      </c>
      <c r="I40" s="394">
        <f t="shared" ca="1" si="25"/>
        <v>3268025.8842507359</v>
      </c>
      <c r="J40" s="379">
        <f t="shared" si="6"/>
        <v>0.25</v>
      </c>
      <c r="K40" s="395">
        <f t="shared" si="7"/>
        <v>812878.03153377178</v>
      </c>
      <c r="L40" s="106">
        <f t="shared" ca="1" si="8"/>
        <v>4080903.9157845075</v>
      </c>
      <c r="M40" s="396">
        <f t="shared" ca="1" si="9"/>
        <v>2451019.4131880519</v>
      </c>
      <c r="N40" s="396">
        <f t="shared" ca="1" si="10"/>
        <v>1992698.7099089853</v>
      </c>
      <c r="O40" s="464">
        <f t="shared" ca="1" si="1"/>
        <v>1992698.7099089853</v>
      </c>
      <c r="P40" s="104"/>
      <c r="Q40" s="104"/>
      <c r="R40" s="375">
        <f t="shared" si="11"/>
        <v>17</v>
      </c>
      <c r="S40" s="106">
        <f t="shared" si="21"/>
        <v>0</v>
      </c>
      <c r="T40" s="385">
        <f t="shared" si="22"/>
        <v>1.1040808032</v>
      </c>
      <c r="U40" s="394">
        <f t="shared" ca="1" si="26"/>
        <v>546215074.84493983</v>
      </c>
      <c r="V40" s="381">
        <f t="shared" si="2"/>
        <v>0.35</v>
      </c>
      <c r="W40" s="395">
        <f t="shared" ca="1" si="27"/>
        <v>191175276.19572893</v>
      </c>
      <c r="X40" s="384">
        <f t="shared" si="12"/>
        <v>21.346399999999999</v>
      </c>
      <c r="Y40" s="394">
        <f t="shared" ca="1" si="28"/>
        <v>4080903.9157845075</v>
      </c>
      <c r="Z40" s="379">
        <f t="shared" si="13"/>
        <v>0.25</v>
      </c>
      <c r="AA40" s="395">
        <f t="shared" si="14"/>
        <v>0</v>
      </c>
      <c r="AB40" s="106">
        <f t="shared" ca="1" si="15"/>
        <v>4080903.9157845075</v>
      </c>
      <c r="AC40" s="396">
        <f t="shared" ca="1" si="16"/>
        <v>3060677.9368383805</v>
      </c>
      <c r="AD40" s="396">
        <f t="shared" ca="1" si="17"/>
        <v>2488356.0462100655</v>
      </c>
      <c r="AE40" s="396">
        <f t="shared" ca="1" si="3"/>
        <v>2488356.0462100655</v>
      </c>
    </row>
    <row r="41" spans="1:31" ht="14.4">
      <c r="A41" s="392">
        <f t="shared" si="18"/>
        <v>0</v>
      </c>
      <c r="B41" s="375">
        <f t="shared" si="4"/>
        <v>18</v>
      </c>
      <c r="C41" s="106">
        <f t="shared" si="19"/>
        <v>122527544.36460757</v>
      </c>
      <c r="D41" s="385">
        <f t="shared" si="20"/>
        <v>1.1261624192640001</v>
      </c>
      <c r="E41" s="394">
        <f t="shared" ca="1" si="23"/>
        <v>557139376.34183872</v>
      </c>
      <c r="F41" s="381">
        <f t="shared" si="0"/>
        <v>0.35</v>
      </c>
      <c r="G41" s="395">
        <f t="shared" ca="1" si="24"/>
        <v>194998781.71964353</v>
      </c>
      <c r="H41" s="384">
        <f t="shared" si="5"/>
        <v>21.346399999999999</v>
      </c>
      <c r="I41" s="394">
        <f t="shared" ca="1" si="25"/>
        <v>3247089.3035415681</v>
      </c>
      <c r="J41" s="379">
        <f t="shared" si="6"/>
        <v>0.25</v>
      </c>
      <c r="K41" s="395">
        <f t="shared" si="7"/>
        <v>915432.69055863062</v>
      </c>
      <c r="L41" s="106">
        <f t="shared" ca="1" si="8"/>
        <v>4162521.9941001986</v>
      </c>
      <c r="M41" s="396">
        <f t="shared" ca="1" si="9"/>
        <v>2435316.9776561763</v>
      </c>
      <c r="N41" s="396">
        <f t="shared" ca="1" si="10"/>
        <v>1979932.502159493</v>
      </c>
      <c r="O41" s="464">
        <f t="shared" ca="1" si="1"/>
        <v>1979932.502159493</v>
      </c>
      <c r="P41" s="104"/>
      <c r="Q41" s="104"/>
      <c r="R41" s="375">
        <f t="shared" si="11"/>
        <v>18</v>
      </c>
      <c r="S41" s="106">
        <f t="shared" si="21"/>
        <v>0</v>
      </c>
      <c r="T41" s="385">
        <f t="shared" si="22"/>
        <v>1.1261624192640001</v>
      </c>
      <c r="U41" s="394">
        <f t="shared" ca="1" si="26"/>
        <v>557139376.34183872</v>
      </c>
      <c r="V41" s="381">
        <f t="shared" si="2"/>
        <v>0.35</v>
      </c>
      <c r="W41" s="395">
        <f t="shared" ca="1" si="27"/>
        <v>194998781.71964353</v>
      </c>
      <c r="X41" s="384">
        <f t="shared" si="12"/>
        <v>21.346399999999999</v>
      </c>
      <c r="Y41" s="394">
        <f t="shared" ca="1" si="28"/>
        <v>4162521.9941001986</v>
      </c>
      <c r="Z41" s="379">
        <f t="shared" si="13"/>
        <v>0.25</v>
      </c>
      <c r="AA41" s="395">
        <f t="shared" si="14"/>
        <v>0</v>
      </c>
      <c r="AB41" s="106">
        <f t="shared" ca="1" si="15"/>
        <v>4162521.9941001986</v>
      </c>
      <c r="AC41" s="396">
        <f t="shared" ca="1" si="16"/>
        <v>3121891.4955751491</v>
      </c>
      <c r="AD41" s="396">
        <f t="shared" ca="1" si="17"/>
        <v>2538123.1671342677</v>
      </c>
      <c r="AE41" s="396">
        <f t="shared" ca="1" si="3"/>
        <v>2538123.1671342677</v>
      </c>
    </row>
    <row r="42" spans="1:31" ht="14.4">
      <c r="A42" s="392">
        <f t="shared" si="18"/>
        <v>1</v>
      </c>
      <c r="B42" s="375">
        <f t="shared" si="4"/>
        <v>19</v>
      </c>
      <c r="C42" s="106">
        <f t="shared" si="19"/>
        <v>137985915.78812355</v>
      </c>
      <c r="D42" s="385">
        <f t="shared" si="20"/>
        <v>1.1261624192640001</v>
      </c>
      <c r="E42" s="394">
        <f t="shared" ca="1" si="23"/>
        <v>557139376.34183872</v>
      </c>
      <c r="F42" s="381">
        <f t="shared" si="0"/>
        <v>0.35</v>
      </c>
      <c r="G42" s="395">
        <f t="shared" ca="1" si="24"/>
        <v>194998781.71964353</v>
      </c>
      <c r="H42" s="384">
        <f t="shared" si="5"/>
        <v>21.346399999999999</v>
      </c>
      <c r="I42" s="394">
        <f t="shared" ca="1" si="25"/>
        <v>3131596.1006273385</v>
      </c>
      <c r="J42" s="379">
        <f t="shared" si="6"/>
        <v>0.25</v>
      </c>
      <c r="K42" s="395">
        <f t="shared" si="7"/>
        <v>1030925.89347286</v>
      </c>
      <c r="L42" s="106">
        <f t="shared" ca="1" si="8"/>
        <v>4162521.9941001986</v>
      </c>
      <c r="M42" s="396">
        <f t="shared" ca="1" si="9"/>
        <v>2348697.0754705039</v>
      </c>
      <c r="N42" s="396">
        <f t="shared" ca="1" si="10"/>
        <v>1909509.8174556943</v>
      </c>
      <c r="O42" s="464">
        <f t="shared" ca="1" si="1"/>
        <v>1909509.8174556943</v>
      </c>
      <c r="P42" s="104"/>
      <c r="Q42" s="104"/>
      <c r="R42" s="375">
        <f t="shared" si="11"/>
        <v>19</v>
      </c>
      <c r="S42" s="106">
        <f t="shared" si="21"/>
        <v>0</v>
      </c>
      <c r="T42" s="385">
        <f t="shared" si="22"/>
        <v>1.1261624192640001</v>
      </c>
      <c r="U42" s="394">
        <f t="shared" ca="1" si="26"/>
        <v>557139376.34183872</v>
      </c>
      <c r="V42" s="381">
        <f t="shared" si="2"/>
        <v>0.35</v>
      </c>
      <c r="W42" s="395">
        <f t="shared" ca="1" si="27"/>
        <v>194998781.71964353</v>
      </c>
      <c r="X42" s="384">
        <f t="shared" si="12"/>
        <v>21.346399999999999</v>
      </c>
      <c r="Y42" s="394">
        <f t="shared" ca="1" si="28"/>
        <v>4162521.9941001986</v>
      </c>
      <c r="Z42" s="379">
        <f t="shared" si="13"/>
        <v>0.25</v>
      </c>
      <c r="AA42" s="395">
        <f t="shared" si="14"/>
        <v>0</v>
      </c>
      <c r="AB42" s="106">
        <f t="shared" ca="1" si="15"/>
        <v>4162521.9941001986</v>
      </c>
      <c r="AC42" s="396">
        <f t="shared" ca="1" si="16"/>
        <v>3121891.4955751491</v>
      </c>
      <c r="AD42" s="396">
        <f t="shared" ca="1" si="17"/>
        <v>2538123.1671342677</v>
      </c>
      <c r="AE42" s="396">
        <f t="shared" ca="1" si="3"/>
        <v>2538123.1671342677</v>
      </c>
    </row>
    <row r="43" spans="1:31" ht="14.4">
      <c r="A43" s="392">
        <f t="shared" si="18"/>
        <v>2</v>
      </c>
      <c r="B43" s="375">
        <f t="shared" si="4"/>
        <v>20</v>
      </c>
      <c r="C43" s="106">
        <f t="shared" si="19"/>
        <v>155394552.74831179</v>
      </c>
      <c r="D43" s="385">
        <f t="shared" si="20"/>
        <v>1.1261624192640001</v>
      </c>
      <c r="E43" s="394">
        <f t="shared" ca="1" si="23"/>
        <v>557139376.34183872</v>
      </c>
      <c r="F43" s="381">
        <f t="shared" si="0"/>
        <v>0.35</v>
      </c>
      <c r="G43" s="395">
        <f t="shared" ca="1" si="24"/>
        <v>194998781.71964353</v>
      </c>
      <c r="H43" s="384">
        <f t="shared" si="5"/>
        <v>21.346399999999999</v>
      </c>
      <c r="I43" s="394">
        <f t="shared" ca="1" si="25"/>
        <v>3001531.9958249019</v>
      </c>
      <c r="J43" s="379">
        <f t="shared" si="6"/>
        <v>0.25</v>
      </c>
      <c r="K43" s="395">
        <f t="shared" si="7"/>
        <v>1160989.9982752968</v>
      </c>
      <c r="L43" s="106">
        <f t="shared" ca="1" si="8"/>
        <v>4162521.9941001986</v>
      </c>
      <c r="M43" s="396">
        <f t="shared" ca="1" si="9"/>
        <v>2251148.9968686765</v>
      </c>
      <c r="N43" s="396">
        <f t="shared" ca="1" si="10"/>
        <v>1830202.4364785987</v>
      </c>
      <c r="O43" s="464">
        <f t="shared" ca="1" si="1"/>
        <v>1830202.4364785987</v>
      </c>
      <c r="P43" s="104"/>
      <c r="Q43" s="104"/>
      <c r="R43" s="375">
        <f t="shared" si="11"/>
        <v>20</v>
      </c>
      <c r="S43" s="106">
        <f t="shared" si="21"/>
        <v>0</v>
      </c>
      <c r="T43" s="385">
        <f t="shared" si="22"/>
        <v>1.1261624192640001</v>
      </c>
      <c r="U43" s="394">
        <f t="shared" ca="1" si="26"/>
        <v>557139376.34183872</v>
      </c>
      <c r="V43" s="381">
        <f t="shared" si="2"/>
        <v>0.35</v>
      </c>
      <c r="W43" s="395">
        <f t="shared" ca="1" si="27"/>
        <v>194998781.71964353</v>
      </c>
      <c r="X43" s="384">
        <f t="shared" si="12"/>
        <v>21.346399999999999</v>
      </c>
      <c r="Y43" s="394">
        <f t="shared" ca="1" si="28"/>
        <v>4162521.9941001986</v>
      </c>
      <c r="Z43" s="379">
        <f t="shared" si="13"/>
        <v>0.25</v>
      </c>
      <c r="AA43" s="395">
        <f t="shared" si="14"/>
        <v>0</v>
      </c>
      <c r="AB43" s="106">
        <f t="shared" ca="1" si="15"/>
        <v>4162521.9941001986</v>
      </c>
      <c r="AC43" s="396">
        <f t="shared" ca="1" si="16"/>
        <v>3121891.4955751491</v>
      </c>
      <c r="AD43" s="396">
        <f t="shared" ca="1" si="17"/>
        <v>2538123.1671342677</v>
      </c>
      <c r="AE43" s="396">
        <f t="shared" ca="1" si="3"/>
        <v>2538123.1671342677</v>
      </c>
    </row>
    <row r="44" spans="1:31" ht="14.4">
      <c r="A44" s="392">
        <f t="shared" si="18"/>
        <v>0</v>
      </c>
      <c r="B44" s="375">
        <f t="shared" si="4"/>
        <v>21</v>
      </c>
      <c r="C44" s="106">
        <f t="shared" si="19"/>
        <v>178499495.57275578</v>
      </c>
      <c r="D44" s="385">
        <f t="shared" si="20"/>
        <v>1.14868566764928</v>
      </c>
      <c r="E44" s="394">
        <f t="shared" ca="1" si="23"/>
        <v>568282163.86867547</v>
      </c>
      <c r="F44" s="381">
        <f t="shared" si="0"/>
        <v>0.35</v>
      </c>
      <c r="G44" s="395">
        <f t="shared" ca="1" si="24"/>
        <v>198898757.35403639</v>
      </c>
      <c r="H44" s="384">
        <f t="shared" si="5"/>
        <v>21.346399999999999</v>
      </c>
      <c r="I44" s="394">
        <f t="shared" ca="1" si="25"/>
        <v>2912159.8626792058</v>
      </c>
      <c r="J44" s="379">
        <f t="shared" si="6"/>
        <v>0.25</v>
      </c>
      <c r="K44" s="395">
        <f t="shared" si="7"/>
        <v>1333612.5713029958</v>
      </c>
      <c r="L44" s="106">
        <f t="shared" ca="1" si="8"/>
        <v>4245772.4339822019</v>
      </c>
      <c r="M44" s="396">
        <f t="shared" ca="1" si="9"/>
        <v>2184119.8970094044</v>
      </c>
      <c r="N44" s="396">
        <f t="shared" ca="1" si="10"/>
        <v>1775707.2333409791</v>
      </c>
      <c r="O44" s="464">
        <f t="shared" ca="1" si="1"/>
        <v>1775707.2333409791</v>
      </c>
      <c r="P44" s="104"/>
      <c r="Q44" s="104"/>
      <c r="R44" s="375">
        <f t="shared" si="11"/>
        <v>21</v>
      </c>
      <c r="S44" s="106">
        <f t="shared" si="21"/>
        <v>0</v>
      </c>
      <c r="T44" s="385">
        <f t="shared" si="22"/>
        <v>1.14868566764928</v>
      </c>
      <c r="U44" s="394">
        <f t="shared" ca="1" si="26"/>
        <v>568282163.86867547</v>
      </c>
      <c r="V44" s="381">
        <f t="shared" si="2"/>
        <v>0.35</v>
      </c>
      <c r="W44" s="395">
        <f t="shared" ca="1" si="27"/>
        <v>198898757.35403639</v>
      </c>
      <c r="X44" s="384">
        <f t="shared" si="12"/>
        <v>21.346399999999999</v>
      </c>
      <c r="Y44" s="394">
        <f t="shared" ca="1" si="28"/>
        <v>4245772.4339822019</v>
      </c>
      <c r="Z44" s="379">
        <f t="shared" si="13"/>
        <v>0.25</v>
      </c>
      <c r="AA44" s="395">
        <f t="shared" si="14"/>
        <v>0</v>
      </c>
      <c r="AB44" s="106">
        <f t="shared" ca="1" si="15"/>
        <v>4245772.4339822019</v>
      </c>
      <c r="AC44" s="396">
        <f t="shared" ca="1" si="16"/>
        <v>3184329.3254866516</v>
      </c>
      <c r="AD44" s="396">
        <f t="shared" ca="1" si="17"/>
        <v>2588885.6304769525</v>
      </c>
      <c r="AE44" s="396">
        <f t="shared" ca="1" si="3"/>
        <v>2588885.6304769525</v>
      </c>
    </row>
    <row r="45" spans="1:31" ht="14.4">
      <c r="A45" s="392">
        <f t="shared" si="18"/>
        <v>1</v>
      </c>
      <c r="B45" s="375">
        <f t="shared" si="4"/>
        <v>22</v>
      </c>
      <c r="C45" s="106">
        <f t="shared" si="19"/>
        <v>205039812.24705067</v>
      </c>
      <c r="D45" s="385">
        <f t="shared" si="20"/>
        <v>1.14868566764928</v>
      </c>
      <c r="E45" s="394">
        <f t="shared" ca="1" si="23"/>
        <v>568282163.86867547</v>
      </c>
      <c r="F45" s="381">
        <f t="shared" si="0"/>
        <v>0.35</v>
      </c>
      <c r="G45" s="395">
        <f t="shared" ca="1" si="24"/>
        <v>198898757.35403639</v>
      </c>
      <c r="H45" s="384">
        <f t="shared" si="5"/>
        <v>21.346399999999999</v>
      </c>
      <c r="I45" s="394">
        <f t="shared" ca="1" si="25"/>
        <v>2713870.7871295474</v>
      </c>
      <c r="J45" s="379">
        <f t="shared" si="6"/>
        <v>0.25</v>
      </c>
      <c r="K45" s="395">
        <f t="shared" si="7"/>
        <v>1531901.6468526546</v>
      </c>
      <c r="L45" s="106">
        <f t="shared" ca="1" si="8"/>
        <v>4245772.4339822019</v>
      </c>
      <c r="M45" s="396">
        <f t="shared" ca="1" si="9"/>
        <v>2035403.0903471606</v>
      </c>
      <c r="N45" s="396">
        <f t="shared" ca="1" si="10"/>
        <v>1654799.260444846</v>
      </c>
      <c r="O45" s="464">
        <f t="shared" ca="1" si="1"/>
        <v>1654799.260444846</v>
      </c>
      <c r="P45" s="104"/>
      <c r="Q45" s="104"/>
      <c r="R45" s="375">
        <f t="shared" si="11"/>
        <v>22</v>
      </c>
      <c r="S45" s="106">
        <f t="shared" si="21"/>
        <v>0</v>
      </c>
      <c r="T45" s="385">
        <f t="shared" si="22"/>
        <v>1.14868566764928</v>
      </c>
      <c r="U45" s="394">
        <f t="shared" ca="1" si="26"/>
        <v>568282163.86867547</v>
      </c>
      <c r="V45" s="381">
        <f t="shared" si="2"/>
        <v>0.35</v>
      </c>
      <c r="W45" s="395">
        <f t="shared" ca="1" si="27"/>
        <v>198898757.35403639</v>
      </c>
      <c r="X45" s="384">
        <f t="shared" si="12"/>
        <v>21.346399999999999</v>
      </c>
      <c r="Y45" s="394">
        <f t="shared" ca="1" si="28"/>
        <v>4245772.4339822019</v>
      </c>
      <c r="Z45" s="379">
        <f t="shared" si="13"/>
        <v>0.25</v>
      </c>
      <c r="AA45" s="395">
        <f t="shared" si="14"/>
        <v>0</v>
      </c>
      <c r="AB45" s="106">
        <f t="shared" ca="1" si="15"/>
        <v>4245772.4339822019</v>
      </c>
      <c r="AC45" s="396">
        <f t="shared" ca="1" si="16"/>
        <v>3184329.3254866516</v>
      </c>
      <c r="AD45" s="396">
        <f t="shared" ca="1" si="17"/>
        <v>2588885.6304769525</v>
      </c>
      <c r="AE45" s="396">
        <f t="shared" ca="1" si="3"/>
        <v>2588885.6304769525</v>
      </c>
    </row>
    <row r="46" spans="1:31" ht="14.4">
      <c r="A46" s="392">
        <f t="shared" si="18"/>
        <v>2</v>
      </c>
      <c r="B46" s="375">
        <f t="shared" si="4"/>
        <v>23</v>
      </c>
      <c r="C46" s="106">
        <f t="shared" si="19"/>
        <v>235526293.62568644</v>
      </c>
      <c r="D46" s="385">
        <f t="shared" si="20"/>
        <v>1.14868566764928</v>
      </c>
      <c r="E46" s="394">
        <f t="shared" ca="1" si="23"/>
        <v>568282163.86867547</v>
      </c>
      <c r="F46" s="381">
        <f t="shared" si="0"/>
        <v>0.35</v>
      </c>
      <c r="G46" s="395">
        <f t="shared" ca="1" si="24"/>
        <v>198898757.35403639</v>
      </c>
      <c r="H46" s="384">
        <f t="shared" si="5"/>
        <v>21.346399999999999</v>
      </c>
      <c r="I46" s="394">
        <f t="shared" ca="1" si="25"/>
        <v>2486098.9679942289</v>
      </c>
      <c r="J46" s="379">
        <f t="shared" si="6"/>
        <v>0.25</v>
      </c>
      <c r="K46" s="395">
        <f t="shared" si="7"/>
        <v>1759673.4659879731</v>
      </c>
      <c r="L46" s="106">
        <f t="shared" ca="1" si="8"/>
        <v>4245772.4339822019</v>
      </c>
      <c r="M46" s="396">
        <f t="shared" ca="1" si="9"/>
        <v>1864574.2259956717</v>
      </c>
      <c r="N46" s="396">
        <f t="shared" ca="1" si="10"/>
        <v>1515914.0048745298</v>
      </c>
      <c r="O46" s="464">
        <f t="shared" ca="1" si="1"/>
        <v>1515914.0048745298</v>
      </c>
      <c r="P46" s="104"/>
      <c r="Q46" s="104"/>
      <c r="R46" s="375">
        <f t="shared" si="11"/>
        <v>23</v>
      </c>
      <c r="S46" s="106">
        <f t="shared" si="21"/>
        <v>0</v>
      </c>
      <c r="T46" s="385">
        <f t="shared" si="22"/>
        <v>1.14868566764928</v>
      </c>
      <c r="U46" s="394">
        <f t="shared" ca="1" si="26"/>
        <v>568282163.86867547</v>
      </c>
      <c r="V46" s="381">
        <f t="shared" si="2"/>
        <v>0.35</v>
      </c>
      <c r="W46" s="395">
        <f t="shared" ca="1" si="27"/>
        <v>198898757.35403639</v>
      </c>
      <c r="X46" s="384">
        <f t="shared" si="12"/>
        <v>21.346399999999999</v>
      </c>
      <c r="Y46" s="394">
        <f t="shared" ca="1" si="28"/>
        <v>4245772.4339822019</v>
      </c>
      <c r="Z46" s="379">
        <f t="shared" si="13"/>
        <v>0.25</v>
      </c>
      <c r="AA46" s="395">
        <f t="shared" si="14"/>
        <v>0</v>
      </c>
      <c r="AB46" s="106">
        <f t="shared" ca="1" si="15"/>
        <v>4245772.4339822019</v>
      </c>
      <c r="AC46" s="396">
        <f t="shared" ca="1" si="16"/>
        <v>3184329.3254866516</v>
      </c>
      <c r="AD46" s="396">
        <f t="shared" ca="1" si="17"/>
        <v>2588885.6304769525</v>
      </c>
      <c r="AE46" s="396">
        <f t="shared" ca="1" si="3"/>
        <v>2588885.6304769525</v>
      </c>
    </row>
    <row r="47" spans="1:31" ht="14.4">
      <c r="A47" s="392">
        <f t="shared" si="18"/>
        <v>0</v>
      </c>
      <c r="B47" s="375">
        <f t="shared" si="4"/>
        <v>24</v>
      </c>
      <c r="C47" s="106">
        <f t="shared" si="19"/>
        <v>275956591.39922965</v>
      </c>
      <c r="D47" s="385">
        <f t="shared" si="20"/>
        <v>1.1716593810022657</v>
      </c>
      <c r="E47" s="394">
        <f t="shared" ca="1" si="23"/>
        <v>579647807.14604902</v>
      </c>
      <c r="F47" s="381">
        <f t="shared" si="0"/>
        <v>0.35</v>
      </c>
      <c r="G47" s="395">
        <f t="shared" ca="1" si="24"/>
        <v>202876732.50111714</v>
      </c>
      <c r="H47" s="384">
        <f t="shared" si="5"/>
        <v>21.346399999999999</v>
      </c>
      <c r="I47" s="394">
        <f t="shared" ca="1" si="25"/>
        <v>2268949.9587362669</v>
      </c>
      <c r="J47" s="379">
        <f t="shared" si="6"/>
        <v>0.25</v>
      </c>
      <c r="K47" s="395">
        <f t="shared" si="7"/>
        <v>2061737.9239255802</v>
      </c>
      <c r="L47" s="106">
        <f t="shared" ca="1" si="8"/>
        <v>4330687.8826618474</v>
      </c>
      <c r="M47" s="396">
        <f t="shared" ca="1" si="9"/>
        <v>1701712.4690522002</v>
      </c>
      <c r="N47" s="396">
        <f t="shared" ca="1" si="10"/>
        <v>1383506.0724001627</v>
      </c>
      <c r="O47" s="464">
        <f t="shared" ca="1" si="1"/>
        <v>1383506.0724001627</v>
      </c>
      <c r="P47" s="104"/>
      <c r="Q47" s="104"/>
      <c r="R47" s="375">
        <f t="shared" si="11"/>
        <v>24</v>
      </c>
      <c r="S47" s="106">
        <f t="shared" si="21"/>
        <v>0</v>
      </c>
      <c r="T47" s="385">
        <f t="shared" si="22"/>
        <v>1.1716593810022657</v>
      </c>
      <c r="U47" s="394">
        <f t="shared" ca="1" si="26"/>
        <v>579647807.14604902</v>
      </c>
      <c r="V47" s="381">
        <f t="shared" si="2"/>
        <v>0.35</v>
      </c>
      <c r="W47" s="395">
        <f t="shared" ca="1" si="27"/>
        <v>202876732.50111714</v>
      </c>
      <c r="X47" s="384">
        <f t="shared" si="12"/>
        <v>21.346399999999999</v>
      </c>
      <c r="Y47" s="394">
        <f t="shared" ca="1" si="28"/>
        <v>4330687.8826618474</v>
      </c>
      <c r="Z47" s="379">
        <f t="shared" si="13"/>
        <v>0.25</v>
      </c>
      <c r="AA47" s="395">
        <f t="shared" si="14"/>
        <v>0</v>
      </c>
      <c r="AB47" s="106">
        <f t="shared" ca="1" si="15"/>
        <v>4330687.8826618474</v>
      </c>
      <c r="AC47" s="396">
        <f t="shared" ca="1" si="16"/>
        <v>3248015.9119963855</v>
      </c>
      <c r="AD47" s="396">
        <f t="shared" ca="1" si="17"/>
        <v>2640663.3430864923</v>
      </c>
      <c r="AE47" s="396">
        <f t="shared" ca="1" si="3"/>
        <v>2640663.3430864923</v>
      </c>
    </row>
    <row r="48" spans="1:31" ht="14.4">
      <c r="A48" s="392">
        <f t="shared" si="18"/>
        <v>1</v>
      </c>
      <c r="B48" s="375">
        <f t="shared" si="4"/>
        <v>25</v>
      </c>
      <c r="C48" s="106">
        <f t="shared" si="19"/>
        <v>323327129.0623166</v>
      </c>
      <c r="D48" s="385">
        <f t="shared" si="20"/>
        <v>1.1716593810022657</v>
      </c>
      <c r="E48" s="394">
        <f t="shared" ca="1" si="23"/>
        <v>579647807.14604902</v>
      </c>
      <c r="F48" s="381">
        <f t="shared" si="0"/>
        <v>0.35</v>
      </c>
      <c r="G48" s="395">
        <f t="shared" ca="1" si="24"/>
        <v>202876732.50111714</v>
      </c>
      <c r="H48" s="384">
        <f t="shared" si="5"/>
        <v>21.346399999999999</v>
      </c>
      <c r="I48" s="394">
        <f t="shared" ca="1" si="25"/>
        <v>1915033.3029263057</v>
      </c>
      <c r="J48" s="379">
        <f t="shared" si="6"/>
        <v>0.25</v>
      </c>
      <c r="K48" s="395">
        <f t="shared" si="7"/>
        <v>2415654.5797355417</v>
      </c>
      <c r="L48" s="106">
        <f t="shared" ca="1" si="8"/>
        <v>4330687.8826618474</v>
      </c>
      <c r="M48" s="396">
        <f t="shared" ca="1" si="9"/>
        <v>1436274.9771947293</v>
      </c>
      <c r="N48" s="396">
        <f t="shared" ca="1" si="10"/>
        <v>1167703.2334916499</v>
      </c>
      <c r="O48" s="464">
        <f t="shared" ca="1" si="1"/>
        <v>1167703.2334916499</v>
      </c>
      <c r="P48" s="104"/>
      <c r="Q48" s="104"/>
      <c r="R48" s="375">
        <f t="shared" si="11"/>
        <v>25</v>
      </c>
      <c r="S48" s="106">
        <f t="shared" si="21"/>
        <v>0</v>
      </c>
      <c r="T48" s="385">
        <f t="shared" si="22"/>
        <v>1.1716593810022657</v>
      </c>
      <c r="U48" s="394">
        <f t="shared" ca="1" si="26"/>
        <v>579647807.14604902</v>
      </c>
      <c r="V48" s="381">
        <f t="shared" si="2"/>
        <v>0.35</v>
      </c>
      <c r="W48" s="395">
        <f t="shared" ca="1" si="27"/>
        <v>202876732.50111714</v>
      </c>
      <c r="X48" s="384">
        <f t="shared" si="12"/>
        <v>21.346399999999999</v>
      </c>
      <c r="Y48" s="394">
        <f t="shared" ca="1" si="28"/>
        <v>4330687.8826618474</v>
      </c>
      <c r="Z48" s="379">
        <f t="shared" si="13"/>
        <v>0.25</v>
      </c>
      <c r="AA48" s="395">
        <f t="shared" si="14"/>
        <v>0</v>
      </c>
      <c r="AB48" s="106">
        <f t="shared" ca="1" si="15"/>
        <v>4330687.8826618474</v>
      </c>
      <c r="AC48" s="396">
        <f t="shared" ca="1" si="16"/>
        <v>3248015.9119963855</v>
      </c>
      <c r="AD48" s="396">
        <f t="shared" ca="1" si="17"/>
        <v>2640663.3430864923</v>
      </c>
      <c r="AE48" s="396">
        <f t="shared" ca="1" si="3"/>
        <v>2640663.3430864923</v>
      </c>
    </row>
    <row r="49" spans="1:31" ht="14.4">
      <c r="A49" s="392">
        <f t="shared" si="18"/>
        <v>2</v>
      </c>
      <c r="B49" s="375">
        <f t="shared" si="4"/>
        <v>26</v>
      </c>
      <c r="C49" s="106">
        <f t="shared" si="19"/>
        <v>378829263.89839357</v>
      </c>
      <c r="D49" s="385">
        <f t="shared" si="20"/>
        <v>1.1716593810022657</v>
      </c>
      <c r="E49" s="394">
        <f t="shared" ca="1" si="23"/>
        <v>579647807.14604902</v>
      </c>
      <c r="F49" s="381">
        <f t="shared" si="0"/>
        <v>0.35</v>
      </c>
      <c r="G49" s="395">
        <f t="shared" ca="1" si="24"/>
        <v>202876732.50111714</v>
      </c>
      <c r="H49" s="384">
        <f t="shared" si="5"/>
        <v>21.346399999999999</v>
      </c>
      <c r="I49" s="394">
        <f t="shared" ca="1" si="25"/>
        <v>1500363.5330536137</v>
      </c>
      <c r="J49" s="379">
        <f t="shared" si="6"/>
        <v>0.25</v>
      </c>
      <c r="K49" s="395">
        <f t="shared" si="7"/>
        <v>2830324.3496082337</v>
      </c>
      <c r="L49" s="106">
        <f t="shared" ca="1" si="8"/>
        <v>4330687.8826618474</v>
      </c>
      <c r="M49" s="396">
        <f t="shared" ca="1" si="9"/>
        <v>1125272.6497902102</v>
      </c>
      <c r="N49" s="396">
        <f t="shared" ca="1" si="10"/>
        <v>914855.81283756928</v>
      </c>
      <c r="O49" s="464">
        <f t="shared" ca="1" si="1"/>
        <v>914855.81283756928</v>
      </c>
      <c r="P49" s="104"/>
      <c r="Q49" s="104"/>
      <c r="R49" s="375">
        <f t="shared" si="11"/>
        <v>26</v>
      </c>
      <c r="S49" s="106">
        <f t="shared" si="21"/>
        <v>0</v>
      </c>
      <c r="T49" s="385">
        <f t="shared" si="22"/>
        <v>1.1716593810022657</v>
      </c>
      <c r="U49" s="394">
        <f t="shared" ca="1" si="26"/>
        <v>579647807.14604902</v>
      </c>
      <c r="V49" s="381">
        <f t="shared" si="2"/>
        <v>0.35</v>
      </c>
      <c r="W49" s="395">
        <f t="shared" ca="1" si="27"/>
        <v>202876732.50111714</v>
      </c>
      <c r="X49" s="384">
        <f t="shared" si="12"/>
        <v>21.346399999999999</v>
      </c>
      <c r="Y49" s="394">
        <f t="shared" ca="1" si="28"/>
        <v>4330687.8826618474</v>
      </c>
      <c r="Z49" s="379">
        <f t="shared" si="13"/>
        <v>0.25</v>
      </c>
      <c r="AA49" s="395">
        <f t="shared" si="14"/>
        <v>0</v>
      </c>
      <c r="AB49" s="106">
        <f t="shared" ca="1" si="15"/>
        <v>4330687.8826618474</v>
      </c>
      <c r="AC49" s="396">
        <f t="shared" ca="1" si="16"/>
        <v>3248015.9119963855</v>
      </c>
      <c r="AD49" s="396">
        <f t="shared" ca="1" si="17"/>
        <v>2640663.3430864923</v>
      </c>
      <c r="AE49" s="396">
        <f t="shared" ca="1" si="3"/>
        <v>2640663.3430864923</v>
      </c>
    </row>
    <row r="50" spans="1:31" ht="14.4">
      <c r="A50" s="392">
        <f t="shared" si="18"/>
        <v>0</v>
      </c>
      <c r="B50" s="375">
        <f t="shared" si="4"/>
        <v>27</v>
      </c>
      <c r="C50" s="106">
        <f t="shared" si="19"/>
        <v>452736038.06163049</v>
      </c>
      <c r="D50" s="385">
        <f t="shared" si="20"/>
        <v>1.1950925686223111</v>
      </c>
      <c r="E50" s="394">
        <f t="shared" ca="1" si="23"/>
        <v>591240763.28896999</v>
      </c>
      <c r="F50" s="381">
        <f t="shared" si="0"/>
        <v>0.35</v>
      </c>
      <c r="G50" s="395">
        <f t="shared" ca="1" si="24"/>
        <v>206934267.1511395</v>
      </c>
      <c r="H50" s="384">
        <f t="shared" si="5"/>
        <v>21.346399999999999</v>
      </c>
      <c r="I50" s="394">
        <f t="shared" ca="1" si="25"/>
        <v>1034802.0433075093</v>
      </c>
      <c r="J50" s="379">
        <f t="shared" si="6"/>
        <v>0.25</v>
      </c>
      <c r="K50" s="395">
        <f t="shared" si="7"/>
        <v>3382499.5970075754</v>
      </c>
      <c r="L50" s="106">
        <f t="shared" ca="1" si="8"/>
        <v>4417301.6403150847</v>
      </c>
      <c r="M50" s="396">
        <f t="shared" ca="1" si="9"/>
        <v>776101.53248063195</v>
      </c>
      <c r="N50" s="396">
        <f t="shared" ca="1" si="10"/>
        <v>630976.85567531059</v>
      </c>
      <c r="O50" s="464">
        <f t="shared" ca="1" si="1"/>
        <v>630976.85567531059</v>
      </c>
      <c r="P50" s="104"/>
      <c r="Q50" s="104"/>
      <c r="R50" s="375">
        <f t="shared" si="11"/>
        <v>27</v>
      </c>
      <c r="S50" s="106">
        <f t="shared" si="21"/>
        <v>0</v>
      </c>
      <c r="T50" s="385">
        <f t="shared" si="22"/>
        <v>1.1950925686223111</v>
      </c>
      <c r="U50" s="394">
        <f t="shared" ca="1" si="26"/>
        <v>591240763.28896999</v>
      </c>
      <c r="V50" s="381">
        <f t="shared" si="2"/>
        <v>0.35</v>
      </c>
      <c r="W50" s="395">
        <f t="shared" ca="1" si="27"/>
        <v>206934267.1511395</v>
      </c>
      <c r="X50" s="384">
        <f t="shared" si="12"/>
        <v>21.346399999999999</v>
      </c>
      <c r="Y50" s="394">
        <f t="shared" ca="1" si="28"/>
        <v>4417301.6403150847</v>
      </c>
      <c r="Z50" s="379">
        <f t="shared" si="13"/>
        <v>0.25</v>
      </c>
      <c r="AA50" s="395">
        <f t="shared" si="14"/>
        <v>0</v>
      </c>
      <c r="AB50" s="106">
        <f t="shared" ca="1" si="15"/>
        <v>4417301.6403150847</v>
      </c>
      <c r="AC50" s="396">
        <f t="shared" ca="1" si="16"/>
        <v>3312976.2302363133</v>
      </c>
      <c r="AD50" s="396">
        <f t="shared" ca="1" si="17"/>
        <v>2693476.6099482221</v>
      </c>
      <c r="AE50" s="396">
        <f t="shared" ca="1" si="3"/>
        <v>2693476.6099482221</v>
      </c>
    </row>
    <row r="51" spans="1:31" ht="14.4">
      <c r="A51" s="392">
        <f t="shared" si="18"/>
        <v>1</v>
      </c>
      <c r="B51" s="375">
        <f t="shared" si="4"/>
        <v>28</v>
      </c>
      <c r="C51" s="106">
        <f t="shared" si="19"/>
        <v>541061474.63496232</v>
      </c>
      <c r="D51" s="385">
        <f t="shared" si="20"/>
        <v>1.1950925686223111</v>
      </c>
      <c r="E51" s="394">
        <f t="shared" ca="1" si="23"/>
        <v>591240763.28896999</v>
      </c>
      <c r="F51" s="381">
        <f t="shared" si="0"/>
        <v>0.35</v>
      </c>
      <c r="G51" s="395">
        <f t="shared" ca="1" si="24"/>
        <v>206934267.1511395</v>
      </c>
      <c r="H51" s="384">
        <f t="shared" si="5"/>
        <v>21.346399999999999</v>
      </c>
      <c r="I51" s="394">
        <f t="shared" ca="1" si="25"/>
        <v>374901.50856336951</v>
      </c>
      <c r="J51" s="379">
        <f t="shared" si="6"/>
        <v>0.25</v>
      </c>
      <c r="K51" s="395">
        <f t="shared" si="7"/>
        <v>4042400.1317517152</v>
      </c>
      <c r="L51" s="106">
        <f t="shared" ca="1" si="8"/>
        <v>4417301.6403150847</v>
      </c>
      <c r="M51" s="396">
        <f t="shared" ca="1" si="9"/>
        <v>281176.13142252713</v>
      </c>
      <c r="N51" s="396">
        <f t="shared" ca="1" si="10"/>
        <v>228598.48083132287</v>
      </c>
      <c r="O51" s="464">
        <f t="shared" ca="1" si="1"/>
        <v>228598.48083132287</v>
      </c>
      <c r="P51" s="104"/>
      <c r="Q51" s="104"/>
      <c r="R51" s="375">
        <f t="shared" si="11"/>
        <v>28</v>
      </c>
      <c r="S51" s="106">
        <f t="shared" si="21"/>
        <v>0</v>
      </c>
      <c r="T51" s="385">
        <f t="shared" si="22"/>
        <v>1.1950925686223111</v>
      </c>
      <c r="U51" s="394">
        <f t="shared" ca="1" si="26"/>
        <v>591240763.28896999</v>
      </c>
      <c r="V51" s="381">
        <f t="shared" si="2"/>
        <v>0.35</v>
      </c>
      <c r="W51" s="395">
        <f t="shared" ca="1" si="27"/>
        <v>206934267.1511395</v>
      </c>
      <c r="X51" s="384">
        <f t="shared" si="12"/>
        <v>21.346399999999999</v>
      </c>
      <c r="Y51" s="394">
        <f t="shared" ca="1" si="28"/>
        <v>4417301.6403150847</v>
      </c>
      <c r="Z51" s="379">
        <f t="shared" si="13"/>
        <v>0.25</v>
      </c>
      <c r="AA51" s="395">
        <f t="shared" si="14"/>
        <v>0</v>
      </c>
      <c r="AB51" s="106">
        <f t="shared" ca="1" si="15"/>
        <v>4417301.6403150847</v>
      </c>
      <c r="AC51" s="396">
        <f t="shared" ca="1" si="16"/>
        <v>3312976.2302363133</v>
      </c>
      <c r="AD51" s="396">
        <f t="shared" ca="1" si="17"/>
        <v>2693476.6099482221</v>
      </c>
      <c r="AE51" s="396">
        <f t="shared" ca="1" si="3"/>
        <v>2693476.6099482221</v>
      </c>
    </row>
    <row r="52" spans="1:31" ht="14.4">
      <c r="A52" s="392">
        <f t="shared" si="18"/>
        <v>2</v>
      </c>
      <c r="B52" s="375">
        <f t="shared" si="4"/>
        <v>29</v>
      </c>
      <c r="C52" s="106">
        <f t="shared" si="19"/>
        <v>646618547.50407255</v>
      </c>
      <c r="D52" s="385">
        <f t="shared" si="20"/>
        <v>1.1950925686223111</v>
      </c>
      <c r="E52" s="394">
        <f t="shared" ca="1" si="23"/>
        <v>591240763.28896999</v>
      </c>
      <c r="F52" s="381">
        <f t="shared" si="0"/>
        <v>0.35</v>
      </c>
      <c r="G52" s="395">
        <f t="shared" ca="1" si="24"/>
        <v>206934267.1511395</v>
      </c>
      <c r="H52" s="384">
        <f t="shared" si="5"/>
        <v>21.346399999999999</v>
      </c>
      <c r="I52" s="394">
        <f t="shared" ca="1" si="25"/>
        <v>0</v>
      </c>
      <c r="J52" s="379">
        <f t="shared" si="6"/>
        <v>0.25</v>
      </c>
      <c r="K52" s="395">
        <f t="shared" si="7"/>
        <v>4831042.3568543261</v>
      </c>
      <c r="L52" s="106">
        <f t="shared" ca="1" si="8"/>
        <v>4831042.3568543261</v>
      </c>
      <c r="M52" s="396">
        <f t="shared" ca="1" si="9"/>
        <v>0</v>
      </c>
      <c r="N52" s="396">
        <f t="shared" ca="1" si="10"/>
        <v>0</v>
      </c>
      <c r="O52" s="464" t="str">
        <f t="shared" ca="1" si="1"/>
        <v/>
      </c>
      <c r="P52" s="104"/>
      <c r="Q52" s="104"/>
      <c r="R52" s="375">
        <f t="shared" si="11"/>
        <v>29</v>
      </c>
      <c r="S52" s="106">
        <f t="shared" si="21"/>
        <v>0</v>
      </c>
      <c r="T52" s="385">
        <f t="shared" si="22"/>
        <v>1.1950925686223111</v>
      </c>
      <c r="U52" s="394">
        <f t="shared" ca="1" si="26"/>
        <v>591240763.28896999</v>
      </c>
      <c r="V52" s="381">
        <f t="shared" si="2"/>
        <v>0.35</v>
      </c>
      <c r="W52" s="395">
        <f t="shared" ca="1" si="27"/>
        <v>206934267.1511395</v>
      </c>
      <c r="X52" s="384">
        <f t="shared" si="12"/>
        <v>21.346399999999999</v>
      </c>
      <c r="Y52" s="394">
        <f t="shared" ca="1" si="28"/>
        <v>4417301.6403150847</v>
      </c>
      <c r="Z52" s="379">
        <f t="shared" si="13"/>
        <v>0.25</v>
      </c>
      <c r="AA52" s="395">
        <f t="shared" si="14"/>
        <v>0</v>
      </c>
      <c r="AB52" s="106">
        <f t="shared" ca="1" si="15"/>
        <v>4417301.6403150847</v>
      </c>
      <c r="AC52" s="396">
        <f t="shared" ca="1" si="16"/>
        <v>3312976.2302363133</v>
      </c>
      <c r="AD52" s="396">
        <f t="shared" ca="1" si="17"/>
        <v>2693476.6099482221</v>
      </c>
      <c r="AE52" s="396">
        <f t="shared" ca="1" si="3"/>
        <v>2693476.6099482221</v>
      </c>
    </row>
    <row r="53" spans="1:31" ht="14.4">
      <c r="A53" s="392">
        <f t="shared" si="18"/>
        <v>0</v>
      </c>
      <c r="B53" s="375">
        <f t="shared" si="4"/>
        <v>30</v>
      </c>
      <c r="C53" s="106">
        <f t="shared" si="19"/>
        <v>788224401.27257931</v>
      </c>
      <c r="D53" s="385">
        <f t="shared" si="20"/>
        <v>1.2189944199947573</v>
      </c>
      <c r="E53" s="394">
        <f t="shared" ca="1" si="23"/>
        <v>603065578.55474949</v>
      </c>
      <c r="F53" s="381">
        <f t="shared" si="0"/>
        <v>0.35</v>
      </c>
      <c r="G53" s="395">
        <f t="shared" ca="1" si="24"/>
        <v>211072952.49416232</v>
      </c>
      <c r="H53" s="384">
        <f t="shared" si="5"/>
        <v>21.346399999999999</v>
      </c>
      <c r="I53" s="394">
        <f t="shared" ca="1" si="25"/>
        <v>0</v>
      </c>
      <c r="J53" s="379">
        <f t="shared" si="6"/>
        <v>0.25</v>
      </c>
      <c r="K53" s="395">
        <f t="shared" si="7"/>
        <v>5889013.6757637439</v>
      </c>
      <c r="L53" s="106">
        <f t="shared" ca="1" si="8"/>
        <v>5889013.6757637439</v>
      </c>
      <c r="M53" s="396">
        <f t="shared" ca="1" si="9"/>
        <v>0</v>
      </c>
      <c r="N53" s="396">
        <f t="shared" ca="1" si="10"/>
        <v>0</v>
      </c>
      <c r="O53" s="464" t="str">
        <f t="shared" ca="1" si="1"/>
        <v/>
      </c>
      <c r="P53" s="104"/>
      <c r="Q53" s="104"/>
      <c r="R53" s="375">
        <f t="shared" si="11"/>
        <v>30</v>
      </c>
      <c r="S53" s="106">
        <f t="shared" si="21"/>
        <v>0</v>
      </c>
      <c r="T53" s="385">
        <f t="shared" si="22"/>
        <v>1.2189944199947573</v>
      </c>
      <c r="U53" s="394">
        <f t="shared" ca="1" si="26"/>
        <v>603065578.55474949</v>
      </c>
      <c r="V53" s="381">
        <f t="shared" si="2"/>
        <v>0.35</v>
      </c>
      <c r="W53" s="395">
        <f t="shared" ca="1" si="27"/>
        <v>211072952.49416232</v>
      </c>
      <c r="X53" s="384">
        <f t="shared" si="12"/>
        <v>21.346399999999999</v>
      </c>
      <c r="Y53" s="394">
        <f t="shared" ca="1" si="28"/>
        <v>4505647.6731213862</v>
      </c>
      <c r="Z53" s="379">
        <f t="shared" si="13"/>
        <v>0.25</v>
      </c>
      <c r="AA53" s="395">
        <f t="shared" si="14"/>
        <v>0</v>
      </c>
      <c r="AB53" s="106">
        <f t="shared" ca="1" si="15"/>
        <v>4505647.6731213862</v>
      </c>
      <c r="AC53" s="396">
        <f t="shared" ca="1" si="16"/>
        <v>3379235.7548410399</v>
      </c>
      <c r="AD53" s="396">
        <f t="shared" ca="1" si="17"/>
        <v>2747346.1421471871</v>
      </c>
      <c r="AE53" s="396">
        <f t="shared" ca="1" si="3"/>
        <v>2747346.1421471871</v>
      </c>
    </row>
    <row r="54" spans="1:31">
      <c r="B54" s="104"/>
      <c r="C54" s="375"/>
      <c r="D54" s="104"/>
      <c r="E54" s="216"/>
      <c r="F54" s="104"/>
      <c r="G54" s="104"/>
      <c r="H54" s="104"/>
      <c r="I54" s="104"/>
      <c r="J54" s="103"/>
      <c r="K54" s="104"/>
      <c r="L54" s="104"/>
      <c r="M54" s="106"/>
      <c r="N54" s="104"/>
      <c r="O54" s="422"/>
      <c r="P54" s="104"/>
      <c r="Q54" s="104"/>
      <c r="R54" s="104"/>
      <c r="S54" s="375"/>
      <c r="T54" s="104"/>
      <c r="U54" s="216"/>
      <c r="V54" s="104"/>
      <c r="W54" s="104"/>
      <c r="X54" s="104"/>
      <c r="Y54" s="104"/>
      <c r="Z54" s="103"/>
      <c r="AA54" s="104"/>
      <c r="AB54" s="104"/>
      <c r="AC54" s="106"/>
      <c r="AD54" s="104"/>
      <c r="AE54" s="104"/>
    </row>
    <row r="55" spans="1:31" ht="14.4">
      <c r="B55" s="363"/>
      <c r="C55" s="375"/>
      <c r="D55" s="358"/>
      <c r="E55" s="216"/>
      <c r="F55" s="363"/>
      <c r="G55" s="103"/>
      <c r="H55" s="358"/>
      <c r="I55" s="104"/>
      <c r="J55" s="363"/>
      <c r="K55" s="103"/>
      <c r="L55" s="397" t="s">
        <v>725</v>
      </c>
      <c r="M55" s="104"/>
      <c r="N55" s="393">
        <f ca="1">MIN(O23:O53)</f>
        <v>228598.48083132287</v>
      </c>
      <c r="O55" s="422"/>
      <c r="P55" s="358"/>
      <c r="Q55" s="104"/>
      <c r="R55" s="363"/>
      <c r="S55" s="375"/>
      <c r="T55" s="358"/>
      <c r="U55" s="216"/>
      <c r="V55" s="363"/>
      <c r="W55" s="103"/>
      <c r="X55" s="358"/>
      <c r="Y55" s="104"/>
      <c r="Z55" s="363"/>
      <c r="AA55" s="103"/>
      <c r="AB55" s="397" t="s">
        <v>725</v>
      </c>
      <c r="AC55" s="104"/>
      <c r="AD55" s="393">
        <f ca="1">MIN(AE23:AE53)</f>
        <v>2298856.3516165912</v>
      </c>
      <c r="AE55" s="103"/>
    </row>
    <row r="56" spans="1:31" ht="14.4">
      <c r="B56" s="103"/>
      <c r="C56" s="375"/>
      <c r="D56" s="105"/>
      <c r="E56" s="216"/>
      <c r="F56" s="103"/>
      <c r="G56" s="104"/>
      <c r="H56" s="105"/>
      <c r="I56" s="104"/>
      <c r="J56" s="103"/>
      <c r="K56" s="104"/>
      <c r="L56" s="398" t="s">
        <v>726</v>
      </c>
      <c r="M56" s="104"/>
      <c r="N56" s="393">
        <f ca="1">PV(D15,D14,-N55)</f>
        <v>3514118.9513993259</v>
      </c>
      <c r="O56" s="422"/>
      <c r="P56" s="106"/>
      <c r="Q56" s="104"/>
      <c r="R56" s="103"/>
      <c r="S56" s="375"/>
      <c r="T56" s="105"/>
      <c r="U56" s="216"/>
      <c r="V56" s="103"/>
      <c r="W56" s="104"/>
      <c r="X56" s="105"/>
      <c r="Y56" s="104"/>
      <c r="Z56" s="103"/>
      <c r="AA56" s="104"/>
      <c r="AB56" s="398" t="s">
        <v>726</v>
      </c>
      <c r="AC56" s="104"/>
      <c r="AD56" s="393">
        <f ca="1">PV(T15,T14,-AD55)</f>
        <v>35339056.683064602</v>
      </c>
      <c r="AE56" s="104"/>
    </row>
    <row r="57" spans="1:31">
      <c r="B57" s="103"/>
      <c r="C57" s="375"/>
      <c r="D57" s="105"/>
      <c r="E57" s="216"/>
      <c r="F57" s="103"/>
      <c r="G57" s="104"/>
      <c r="H57" s="105"/>
      <c r="I57" s="104"/>
      <c r="J57" s="103"/>
      <c r="K57" s="104"/>
      <c r="L57" s="106"/>
      <c r="M57" s="104"/>
      <c r="N57" s="103"/>
      <c r="O57" s="422"/>
      <c r="P57" s="106"/>
      <c r="Q57" s="104"/>
      <c r="R57" s="103"/>
      <c r="S57" s="104"/>
      <c r="T57" s="106"/>
    </row>
    <row r="58" spans="1:31">
      <c r="B58" s="104"/>
      <c r="C58" s="375"/>
      <c r="D58" s="105"/>
      <c r="E58" s="216"/>
      <c r="F58" s="104"/>
      <c r="G58" s="104"/>
      <c r="H58" s="105"/>
      <c r="I58" s="104"/>
      <c r="J58" s="104"/>
      <c r="K58" s="104"/>
      <c r="L58" s="106"/>
      <c r="M58" s="104"/>
      <c r="N58" s="104"/>
      <c r="O58" s="422"/>
      <c r="P58" s="106"/>
      <c r="Q58" s="104"/>
      <c r="R58" s="104"/>
      <c r="S58" s="104"/>
      <c r="T58" s="106"/>
    </row>
    <row r="59" spans="1:31">
      <c r="B59" s="104"/>
      <c r="C59" s="375"/>
      <c r="D59" s="105"/>
      <c r="E59" s="216"/>
      <c r="F59" s="104"/>
      <c r="G59" s="104"/>
      <c r="H59" s="105"/>
      <c r="I59" s="104"/>
      <c r="J59" s="104"/>
      <c r="K59" s="104"/>
      <c r="L59" s="106"/>
      <c r="M59" s="104"/>
      <c r="N59" s="104"/>
      <c r="O59" s="422"/>
      <c r="P59" s="106"/>
      <c r="Q59" s="104"/>
      <c r="R59" s="104"/>
      <c r="S59" s="104"/>
      <c r="T59" s="106"/>
    </row>
    <row r="60" spans="1:31">
      <c r="B60" s="104"/>
      <c r="C60" s="375"/>
      <c r="D60" s="105"/>
      <c r="E60" s="216"/>
      <c r="F60" s="104"/>
      <c r="G60" s="104"/>
      <c r="H60" s="105"/>
      <c r="I60" s="104"/>
      <c r="J60" s="104"/>
      <c r="K60" s="104"/>
      <c r="L60" s="106"/>
      <c r="M60" s="104"/>
      <c r="N60" s="104"/>
      <c r="O60" s="422"/>
      <c r="P60" s="106"/>
      <c r="Q60" s="104"/>
      <c r="R60" s="104"/>
      <c r="S60" s="104"/>
      <c r="T60" s="106"/>
    </row>
    <row r="61" spans="1:31">
      <c r="B61" s="103"/>
      <c r="C61" s="375"/>
      <c r="D61" s="106"/>
      <c r="E61" s="216"/>
      <c r="F61" s="103"/>
      <c r="G61" s="104"/>
      <c r="H61" s="106"/>
      <c r="I61" s="104"/>
      <c r="J61" s="103"/>
      <c r="K61" s="104"/>
      <c r="L61" s="106"/>
      <c r="M61" s="104"/>
      <c r="N61" s="103"/>
      <c r="O61" s="422"/>
      <c r="P61" s="106"/>
      <c r="Q61" s="104"/>
      <c r="R61" s="103"/>
      <c r="S61" s="104"/>
      <c r="T61" s="106"/>
    </row>
  </sheetData>
  <pageMargins left="0.7" right="0.7" top="0.75" bottom="0.75" header="0.3" footer="0.3"/>
  <pageSetup paperSize="3" scale="52" fitToHeight="0" orientation="landscape" r:id="rId1"/>
  <headerFooter>
    <oddHeader xml:space="preserve">&amp;L2019 ULI Hines Student Competition&amp;R2019-331 &amp;A </oddHeader>
  </headerFooter>
  <colBreaks count="1" manualBreakCount="1">
    <brk id="17" min="1" max="5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7ACD9-D796-47DC-A330-A951AFCF42D4}">
  <sheetPr>
    <tabColor rgb="FF92D050"/>
    <pageSetUpPr fitToPage="1"/>
  </sheetPr>
  <dimension ref="B8:AA97"/>
  <sheetViews>
    <sheetView showGridLines="0" view="pageBreakPreview" zoomScale="80" zoomScaleNormal="80" zoomScaleSheetLayoutView="80" workbookViewId="0">
      <pane xSplit="5" ySplit="10" topLeftCell="K11" activePane="bottomRight" state="frozen"/>
      <selection activeCell="A2" sqref="A2"/>
      <selection pane="topRight" activeCell="A2" sqref="A2"/>
      <selection pane="bottomLeft" activeCell="A2" sqref="A2"/>
      <selection pane="bottomRight" activeCell="K11" sqref="K11"/>
    </sheetView>
  </sheetViews>
  <sheetFormatPr defaultColWidth="10.6640625" defaultRowHeight="13.2"/>
  <cols>
    <col min="1" max="1" width="1.77734375" style="532" customWidth="1"/>
    <col min="2" max="2" width="10.6640625" style="532"/>
    <col min="3" max="3" width="10.77734375" style="532" bestFit="1" customWidth="1"/>
    <col min="4" max="4" width="0" style="532" hidden="1" customWidth="1"/>
    <col min="5" max="5" width="16.21875" style="532" hidden="1" customWidth="1"/>
    <col min="6" max="10" width="0" style="532" hidden="1" customWidth="1"/>
    <col min="11" max="12" width="10.6640625" style="532"/>
    <col min="13" max="13" width="66.109375" style="532" bestFit="1" customWidth="1"/>
    <col min="14" max="14" width="11.33203125" style="533" bestFit="1" customWidth="1"/>
    <col min="15" max="15" width="10.6640625" style="532"/>
    <col min="16" max="16" width="12.77734375" style="534" bestFit="1" customWidth="1"/>
    <col min="17" max="17" width="12.77734375" style="532" bestFit="1" customWidth="1"/>
    <col min="18" max="18" width="11.21875" style="532" bestFit="1" customWidth="1"/>
    <col min="19" max="19" width="13.5546875" style="532" bestFit="1" customWidth="1"/>
    <col min="20" max="20" width="10.6640625" style="532"/>
    <col min="21" max="26" width="0" style="532" hidden="1" customWidth="1"/>
    <col min="27" max="27" width="159" style="532" customWidth="1"/>
    <col min="28" max="16384" width="10.6640625" style="532"/>
  </cols>
  <sheetData>
    <row r="8" spans="2:27">
      <c r="B8" s="445" t="s">
        <v>762</v>
      </c>
    </row>
    <row r="10" spans="2:27" s="535" customFormat="1">
      <c r="B10" s="616" t="s">
        <v>53</v>
      </c>
      <c r="C10" s="616" t="s">
        <v>54</v>
      </c>
      <c r="D10" s="616" t="s">
        <v>55</v>
      </c>
      <c r="E10" s="616" t="s">
        <v>56</v>
      </c>
      <c r="F10" s="616" t="s">
        <v>57</v>
      </c>
      <c r="G10" s="616" t="s">
        <v>58</v>
      </c>
      <c r="H10" s="616" t="s">
        <v>59</v>
      </c>
      <c r="I10" s="616" t="s">
        <v>60</v>
      </c>
      <c r="J10" s="616" t="s">
        <v>61</v>
      </c>
      <c r="K10" s="616" t="s">
        <v>444</v>
      </c>
      <c r="L10" s="616" t="s">
        <v>437</v>
      </c>
      <c r="M10" s="616" t="s">
        <v>62</v>
      </c>
      <c r="N10" s="617" t="s">
        <v>63</v>
      </c>
      <c r="O10" s="618" t="s">
        <v>64</v>
      </c>
      <c r="P10" s="619" t="s">
        <v>65</v>
      </c>
      <c r="Q10" s="620" t="s">
        <v>66</v>
      </c>
      <c r="R10" s="620" t="s">
        <v>67</v>
      </c>
      <c r="S10" s="620" t="s">
        <v>68</v>
      </c>
      <c r="T10" s="616" t="s">
        <v>69</v>
      </c>
      <c r="U10" s="616" t="s">
        <v>70</v>
      </c>
      <c r="V10" s="616" t="s">
        <v>71</v>
      </c>
      <c r="W10" s="616" t="s">
        <v>72</v>
      </c>
      <c r="X10" s="616" t="s">
        <v>73</v>
      </c>
      <c r="Y10" s="616" t="s">
        <v>74</v>
      </c>
      <c r="Z10" s="616" t="s">
        <v>75</v>
      </c>
      <c r="AA10" s="616" t="s">
        <v>76</v>
      </c>
    </row>
    <row r="11" spans="2:27">
      <c r="B11" s="545" t="s">
        <v>77</v>
      </c>
      <c r="C11" s="621">
        <v>1</v>
      </c>
      <c r="D11" s="545" t="s">
        <v>78</v>
      </c>
      <c r="E11" s="540" t="s">
        <v>79</v>
      </c>
      <c r="F11" s="540" t="s">
        <v>80</v>
      </c>
      <c r="G11" s="622" t="s">
        <v>81</v>
      </c>
      <c r="H11" s="622" t="s">
        <v>82</v>
      </c>
      <c r="I11" s="545"/>
      <c r="J11" s="540" t="s">
        <v>83</v>
      </c>
      <c r="K11" s="540"/>
      <c r="L11" s="540"/>
      <c r="M11" s="540" t="s">
        <v>84</v>
      </c>
      <c r="N11" s="536">
        <v>74326</v>
      </c>
      <c r="O11" s="542" t="s">
        <v>85</v>
      </c>
      <c r="P11" s="537">
        <v>13007050</v>
      </c>
      <c r="Q11" s="541">
        <v>70512950</v>
      </c>
      <c r="R11" s="543">
        <v>0</v>
      </c>
      <c r="S11" s="623">
        <f t="shared" ref="S11:S42" si="0">SUM(P11:R11)</f>
        <v>83520000</v>
      </c>
      <c r="T11" s="540" t="s">
        <v>86</v>
      </c>
      <c r="U11" s="545" t="s">
        <v>87</v>
      </c>
      <c r="V11" s="545" t="s">
        <v>87</v>
      </c>
      <c r="W11" s="545" t="s">
        <v>88</v>
      </c>
      <c r="X11" s="545" t="s">
        <v>89</v>
      </c>
      <c r="Y11" s="545" t="s">
        <v>90</v>
      </c>
      <c r="Z11" s="540" t="s">
        <v>91</v>
      </c>
      <c r="AA11" s="545" t="s">
        <v>92</v>
      </c>
    </row>
    <row r="12" spans="2:27">
      <c r="B12" s="545" t="s">
        <v>77</v>
      </c>
      <c r="C12" s="621">
        <v>2</v>
      </c>
      <c r="D12" s="545" t="s">
        <v>78</v>
      </c>
      <c r="E12" s="540" t="s">
        <v>93</v>
      </c>
      <c r="F12" s="540" t="s">
        <v>80</v>
      </c>
      <c r="G12" s="540" t="s">
        <v>94</v>
      </c>
      <c r="H12" s="540" t="s">
        <v>95</v>
      </c>
      <c r="I12" s="545"/>
      <c r="J12" s="540" t="s">
        <v>83</v>
      </c>
      <c r="K12" s="540"/>
      <c r="L12" s="540"/>
      <c r="M12" s="540" t="s">
        <v>96</v>
      </c>
      <c r="N12" s="538">
        <v>5600</v>
      </c>
      <c r="O12" s="540" t="s">
        <v>97</v>
      </c>
      <c r="P12" s="537">
        <v>1260000</v>
      </c>
      <c r="Q12" s="541">
        <v>63696</v>
      </c>
      <c r="R12" s="539">
        <v>6912</v>
      </c>
      <c r="S12" s="623">
        <f t="shared" si="0"/>
        <v>1330608</v>
      </c>
      <c r="T12" s="540" t="s">
        <v>98</v>
      </c>
      <c r="U12" s="545" t="s">
        <v>87</v>
      </c>
      <c r="V12" s="545" t="s">
        <v>87</v>
      </c>
      <c r="W12" s="545" t="s">
        <v>88</v>
      </c>
      <c r="X12" s="545" t="s">
        <v>89</v>
      </c>
      <c r="Y12" s="545" t="s">
        <v>90</v>
      </c>
      <c r="Z12" s="540" t="s">
        <v>91</v>
      </c>
      <c r="AA12" s="545" t="s">
        <v>99</v>
      </c>
    </row>
    <row r="13" spans="2:27">
      <c r="B13" s="545" t="s">
        <v>77</v>
      </c>
      <c r="C13" s="621">
        <v>3</v>
      </c>
      <c r="D13" s="545" t="s">
        <v>78</v>
      </c>
      <c r="E13" s="540" t="s">
        <v>100</v>
      </c>
      <c r="F13" s="540" t="s">
        <v>101</v>
      </c>
      <c r="G13" s="540" t="s">
        <v>102</v>
      </c>
      <c r="H13" s="540" t="s">
        <v>103</v>
      </c>
      <c r="I13" s="540" t="s">
        <v>104</v>
      </c>
      <c r="J13" s="540" t="s">
        <v>83</v>
      </c>
      <c r="K13" s="540"/>
      <c r="L13" s="540"/>
      <c r="M13" s="540" t="s">
        <v>105</v>
      </c>
      <c r="N13" s="538">
        <v>10500</v>
      </c>
      <c r="O13" s="540" t="s">
        <v>106</v>
      </c>
      <c r="P13" s="539">
        <v>2362500</v>
      </c>
      <c r="Q13" s="539">
        <v>500</v>
      </c>
      <c r="R13" s="543">
        <v>0</v>
      </c>
      <c r="S13" s="623">
        <f t="shared" si="0"/>
        <v>2363000</v>
      </c>
      <c r="T13" s="540" t="s">
        <v>98</v>
      </c>
      <c r="U13" s="545" t="s">
        <v>87</v>
      </c>
      <c r="V13" s="545" t="s">
        <v>87</v>
      </c>
      <c r="W13" s="545" t="s">
        <v>88</v>
      </c>
      <c r="X13" s="545" t="s">
        <v>89</v>
      </c>
      <c r="Y13" s="545" t="s">
        <v>90</v>
      </c>
      <c r="Z13" s="540" t="s">
        <v>91</v>
      </c>
      <c r="AA13" s="540" t="s">
        <v>99</v>
      </c>
    </row>
    <row r="14" spans="2:27">
      <c r="B14" s="545" t="s">
        <v>77</v>
      </c>
      <c r="C14" s="624">
        <v>4</v>
      </c>
      <c r="D14" s="545" t="s">
        <v>107</v>
      </c>
      <c r="E14" s="540" t="s">
        <v>108</v>
      </c>
      <c r="F14" s="540" t="s">
        <v>109</v>
      </c>
      <c r="G14" s="540" t="s">
        <v>110</v>
      </c>
      <c r="H14" s="540" t="s">
        <v>111</v>
      </c>
      <c r="I14" s="545"/>
      <c r="J14" s="540" t="s">
        <v>112</v>
      </c>
      <c r="K14" s="540" t="s">
        <v>20</v>
      </c>
      <c r="L14" s="540" t="s">
        <v>438</v>
      </c>
      <c r="M14" s="540" t="s">
        <v>113</v>
      </c>
      <c r="N14" s="538">
        <v>36753</v>
      </c>
      <c r="O14" s="540" t="s">
        <v>114</v>
      </c>
      <c r="P14" s="537">
        <v>2388945</v>
      </c>
      <c r="Q14" s="541">
        <v>253676</v>
      </c>
      <c r="R14" s="539">
        <v>93933</v>
      </c>
      <c r="S14" s="623">
        <f t="shared" si="0"/>
        <v>2736554</v>
      </c>
      <c r="T14" s="540" t="s">
        <v>115</v>
      </c>
      <c r="U14" s="545" t="s">
        <v>87</v>
      </c>
      <c r="V14" s="545" t="s">
        <v>87</v>
      </c>
      <c r="W14" s="545" t="s">
        <v>88</v>
      </c>
      <c r="X14" s="545" t="s">
        <v>89</v>
      </c>
      <c r="Y14" s="545" t="s">
        <v>90</v>
      </c>
      <c r="Z14" s="545" t="s">
        <v>116</v>
      </c>
      <c r="AA14" s="545" t="s">
        <v>117</v>
      </c>
    </row>
    <row r="15" spans="2:27">
      <c r="B15" s="545" t="s">
        <v>77</v>
      </c>
      <c r="C15" s="624">
        <v>5</v>
      </c>
      <c r="D15" s="545" t="s">
        <v>107</v>
      </c>
      <c r="E15" s="540" t="s">
        <v>118</v>
      </c>
      <c r="F15" s="540" t="s">
        <v>101</v>
      </c>
      <c r="G15" s="540" t="s">
        <v>119</v>
      </c>
      <c r="H15" s="540" t="s">
        <v>111</v>
      </c>
      <c r="I15" s="545"/>
      <c r="J15" s="540" t="s">
        <v>112</v>
      </c>
      <c r="K15" s="540" t="s">
        <v>20</v>
      </c>
      <c r="L15" s="540" t="s">
        <v>438</v>
      </c>
      <c r="M15" s="540" t="s">
        <v>120</v>
      </c>
      <c r="N15" s="536">
        <v>2188</v>
      </c>
      <c r="O15" s="542" t="s">
        <v>121</v>
      </c>
      <c r="P15" s="537">
        <v>284440</v>
      </c>
      <c r="Q15" s="543">
        <v>0</v>
      </c>
      <c r="R15" s="543">
        <v>0</v>
      </c>
      <c r="S15" s="623">
        <f t="shared" si="0"/>
        <v>284440</v>
      </c>
      <c r="T15" s="540" t="s">
        <v>115</v>
      </c>
      <c r="U15" s="545" t="s">
        <v>87</v>
      </c>
      <c r="V15" s="545" t="s">
        <v>87</v>
      </c>
      <c r="W15" s="545" t="s">
        <v>88</v>
      </c>
      <c r="X15" s="545" t="s">
        <v>89</v>
      </c>
      <c r="Y15" s="545" t="s">
        <v>90</v>
      </c>
      <c r="Z15" s="545" t="s">
        <v>116</v>
      </c>
      <c r="AA15" s="545" t="s">
        <v>122</v>
      </c>
    </row>
    <row r="16" spans="2:27">
      <c r="B16" s="545" t="s">
        <v>77</v>
      </c>
      <c r="C16" s="624">
        <v>6</v>
      </c>
      <c r="D16" s="545" t="s">
        <v>107</v>
      </c>
      <c r="E16" s="540" t="s">
        <v>123</v>
      </c>
      <c r="F16" s="540" t="s">
        <v>101</v>
      </c>
      <c r="G16" s="540" t="s">
        <v>124</v>
      </c>
      <c r="H16" s="540" t="s">
        <v>111</v>
      </c>
      <c r="I16" s="545"/>
      <c r="J16" s="540" t="s">
        <v>112</v>
      </c>
      <c r="K16" s="540" t="s">
        <v>20</v>
      </c>
      <c r="L16" s="540" t="s">
        <v>438</v>
      </c>
      <c r="M16" s="540" t="s">
        <v>120</v>
      </c>
      <c r="N16" s="538">
        <v>2360</v>
      </c>
      <c r="O16" s="540" t="s">
        <v>125</v>
      </c>
      <c r="P16" s="539">
        <v>306800</v>
      </c>
      <c r="Q16" s="543">
        <v>0</v>
      </c>
      <c r="R16" s="543">
        <v>0</v>
      </c>
      <c r="S16" s="623">
        <f t="shared" si="0"/>
        <v>306800</v>
      </c>
      <c r="T16" s="540" t="s">
        <v>115</v>
      </c>
      <c r="U16" s="545" t="s">
        <v>87</v>
      </c>
      <c r="V16" s="545" t="s">
        <v>87</v>
      </c>
      <c r="W16" s="545" t="s">
        <v>88</v>
      </c>
      <c r="X16" s="545" t="s">
        <v>89</v>
      </c>
      <c r="Y16" s="545" t="s">
        <v>90</v>
      </c>
      <c r="Z16" s="545" t="s">
        <v>116</v>
      </c>
      <c r="AA16" s="545" t="s">
        <v>122</v>
      </c>
    </row>
    <row r="17" spans="2:27">
      <c r="B17" s="545" t="s">
        <v>77</v>
      </c>
      <c r="C17" s="624">
        <v>7</v>
      </c>
      <c r="D17" s="545" t="s">
        <v>107</v>
      </c>
      <c r="E17" s="540" t="s">
        <v>126</v>
      </c>
      <c r="F17" s="540" t="s">
        <v>101</v>
      </c>
      <c r="G17" s="540" t="s">
        <v>127</v>
      </c>
      <c r="H17" s="540" t="s">
        <v>128</v>
      </c>
      <c r="I17" s="545"/>
      <c r="J17" s="540" t="s">
        <v>112</v>
      </c>
      <c r="K17" s="540" t="s">
        <v>20</v>
      </c>
      <c r="L17" s="540" t="s">
        <v>438</v>
      </c>
      <c r="M17" s="540" t="s">
        <v>113</v>
      </c>
      <c r="N17" s="538">
        <v>4688</v>
      </c>
      <c r="O17" s="540" t="s">
        <v>129</v>
      </c>
      <c r="P17" s="539">
        <v>304720</v>
      </c>
      <c r="Q17" s="539">
        <v>69379</v>
      </c>
      <c r="R17" s="541">
        <v>3908</v>
      </c>
      <c r="S17" s="623">
        <f t="shared" si="0"/>
        <v>378007</v>
      </c>
      <c r="T17" s="540" t="s">
        <v>115</v>
      </c>
      <c r="U17" s="545" t="s">
        <v>87</v>
      </c>
      <c r="V17" s="545" t="s">
        <v>87</v>
      </c>
      <c r="W17" s="545" t="s">
        <v>88</v>
      </c>
      <c r="X17" s="545" t="s">
        <v>89</v>
      </c>
      <c r="Y17" s="545" t="s">
        <v>90</v>
      </c>
      <c r="Z17" s="545" t="s">
        <v>116</v>
      </c>
      <c r="AA17" s="545" t="s">
        <v>117</v>
      </c>
    </row>
    <row r="18" spans="2:27">
      <c r="B18" s="545" t="s">
        <v>77</v>
      </c>
      <c r="C18" s="621">
        <v>8</v>
      </c>
      <c r="D18" s="545" t="s">
        <v>78</v>
      </c>
      <c r="E18" s="540" t="s">
        <v>130</v>
      </c>
      <c r="F18" s="540" t="s">
        <v>101</v>
      </c>
      <c r="G18" s="540" t="s">
        <v>131</v>
      </c>
      <c r="H18" s="540" t="s">
        <v>132</v>
      </c>
      <c r="I18" s="545"/>
      <c r="J18" s="540" t="s">
        <v>112</v>
      </c>
      <c r="K18" s="540" t="s">
        <v>20</v>
      </c>
      <c r="L18" s="540" t="s">
        <v>750</v>
      </c>
      <c r="M18" s="540" t="s">
        <v>133</v>
      </c>
      <c r="N18" s="538">
        <v>1875</v>
      </c>
      <c r="O18" s="540" t="s">
        <v>134</v>
      </c>
      <c r="P18" s="537">
        <v>243750</v>
      </c>
      <c r="Q18" s="543">
        <v>0</v>
      </c>
      <c r="R18" s="543">
        <v>0</v>
      </c>
      <c r="S18" s="623">
        <f t="shared" si="0"/>
        <v>243750</v>
      </c>
      <c r="T18" s="540" t="s">
        <v>115</v>
      </c>
      <c r="U18" s="545" t="s">
        <v>87</v>
      </c>
      <c r="V18" s="545" t="s">
        <v>87</v>
      </c>
      <c r="W18" s="545" t="s">
        <v>88</v>
      </c>
      <c r="X18" s="545" t="s">
        <v>89</v>
      </c>
      <c r="Y18" s="545" t="s">
        <v>90</v>
      </c>
      <c r="Z18" s="545" t="s">
        <v>116</v>
      </c>
      <c r="AA18" s="545" t="s">
        <v>135</v>
      </c>
    </row>
    <row r="19" spans="2:27">
      <c r="B19" s="545" t="s">
        <v>77</v>
      </c>
      <c r="C19" s="621">
        <v>9</v>
      </c>
      <c r="D19" s="545" t="s">
        <v>78</v>
      </c>
      <c r="E19" s="540" t="s">
        <v>136</v>
      </c>
      <c r="F19" s="540" t="s">
        <v>101</v>
      </c>
      <c r="G19" s="540" t="s">
        <v>137</v>
      </c>
      <c r="H19" s="540" t="s">
        <v>138</v>
      </c>
      <c r="I19" s="545"/>
      <c r="J19" s="540" t="s">
        <v>83</v>
      </c>
      <c r="K19" s="540" t="s">
        <v>20</v>
      </c>
      <c r="L19" s="540" t="s">
        <v>750</v>
      </c>
      <c r="M19" s="540" t="s">
        <v>139</v>
      </c>
      <c r="N19" s="538">
        <v>1750</v>
      </c>
      <c r="O19" s="540" t="s">
        <v>140</v>
      </c>
      <c r="P19" s="539">
        <v>306250</v>
      </c>
      <c r="Q19" s="539">
        <v>38419</v>
      </c>
      <c r="R19" s="543">
        <v>0</v>
      </c>
      <c r="S19" s="623">
        <f t="shared" si="0"/>
        <v>344669</v>
      </c>
      <c r="T19" s="540" t="s">
        <v>98</v>
      </c>
      <c r="U19" s="545" t="s">
        <v>87</v>
      </c>
      <c r="V19" s="545" t="s">
        <v>87</v>
      </c>
      <c r="W19" s="545" t="s">
        <v>88</v>
      </c>
      <c r="X19" s="545" t="s">
        <v>89</v>
      </c>
      <c r="Y19" s="545" t="s">
        <v>90</v>
      </c>
      <c r="Z19" s="540" t="s">
        <v>91</v>
      </c>
      <c r="AA19" s="545" t="s">
        <v>135</v>
      </c>
    </row>
    <row r="20" spans="2:27" ht="15.45" customHeight="1">
      <c r="B20" s="545" t="s">
        <v>77</v>
      </c>
      <c r="C20" s="621">
        <v>10</v>
      </c>
      <c r="D20" s="545" t="s">
        <v>78</v>
      </c>
      <c r="E20" s="540" t="s">
        <v>141</v>
      </c>
      <c r="F20" s="540" t="s">
        <v>101</v>
      </c>
      <c r="G20" s="540" t="s">
        <v>142</v>
      </c>
      <c r="H20" s="540" t="s">
        <v>143</v>
      </c>
      <c r="I20" s="545"/>
      <c r="J20" s="540" t="s">
        <v>83</v>
      </c>
      <c r="K20" s="540" t="s">
        <v>20</v>
      </c>
      <c r="L20" s="540" t="s">
        <v>750</v>
      </c>
      <c r="M20" s="540" t="s">
        <v>133</v>
      </c>
      <c r="N20" s="538">
        <v>3500</v>
      </c>
      <c r="O20" s="540" t="s">
        <v>144</v>
      </c>
      <c r="P20" s="539">
        <v>612500</v>
      </c>
      <c r="Q20" s="543">
        <v>0</v>
      </c>
      <c r="R20" s="543">
        <v>0</v>
      </c>
      <c r="S20" s="623">
        <f t="shared" si="0"/>
        <v>612500</v>
      </c>
      <c r="T20" s="540" t="s">
        <v>98</v>
      </c>
      <c r="U20" s="545" t="s">
        <v>87</v>
      </c>
      <c r="V20" s="545" t="s">
        <v>87</v>
      </c>
      <c r="W20" s="545" t="s">
        <v>88</v>
      </c>
      <c r="X20" s="545" t="s">
        <v>89</v>
      </c>
      <c r="Y20" s="545" t="s">
        <v>90</v>
      </c>
      <c r="Z20" s="540" t="s">
        <v>91</v>
      </c>
      <c r="AA20" s="540" t="s">
        <v>122</v>
      </c>
    </row>
    <row r="21" spans="2:27">
      <c r="B21" s="545" t="s">
        <v>77</v>
      </c>
      <c r="C21" s="545">
        <v>11</v>
      </c>
      <c r="D21" s="545" t="s">
        <v>78</v>
      </c>
      <c r="E21" s="540" t="s">
        <v>145</v>
      </c>
      <c r="F21" s="540" t="s">
        <v>101</v>
      </c>
      <c r="G21" s="540" t="s">
        <v>146</v>
      </c>
      <c r="H21" s="540" t="s">
        <v>143</v>
      </c>
      <c r="I21" s="545"/>
      <c r="J21" s="540" t="s">
        <v>83</v>
      </c>
      <c r="K21" s="540" t="s">
        <v>20</v>
      </c>
      <c r="L21" s="540" t="s">
        <v>750</v>
      </c>
      <c r="M21" s="540" t="s">
        <v>105</v>
      </c>
      <c r="N21" s="536">
        <v>10500</v>
      </c>
      <c r="O21" s="542" t="s">
        <v>106</v>
      </c>
      <c r="P21" s="537">
        <v>2362500</v>
      </c>
      <c r="Q21" s="539">
        <v>22055</v>
      </c>
      <c r="R21" s="541">
        <v>9776</v>
      </c>
      <c r="S21" s="623">
        <f t="shared" si="0"/>
        <v>2394331</v>
      </c>
      <c r="T21" s="540" t="s">
        <v>98</v>
      </c>
      <c r="U21" s="545" t="s">
        <v>87</v>
      </c>
      <c r="V21" s="545" t="s">
        <v>87</v>
      </c>
      <c r="W21" s="545" t="s">
        <v>88</v>
      </c>
      <c r="X21" s="545" t="s">
        <v>89</v>
      </c>
      <c r="Y21" s="545" t="s">
        <v>90</v>
      </c>
      <c r="Z21" s="540" t="s">
        <v>91</v>
      </c>
      <c r="AA21" s="540" t="s">
        <v>147</v>
      </c>
    </row>
    <row r="22" spans="2:27">
      <c r="B22" s="545" t="s">
        <v>77</v>
      </c>
      <c r="C22" s="624">
        <v>12</v>
      </c>
      <c r="D22" s="545" t="s">
        <v>107</v>
      </c>
      <c r="E22" s="540" t="s">
        <v>148</v>
      </c>
      <c r="F22" s="540" t="s">
        <v>109</v>
      </c>
      <c r="G22" s="540" t="s">
        <v>149</v>
      </c>
      <c r="H22" s="540" t="s">
        <v>111</v>
      </c>
      <c r="I22" s="545"/>
      <c r="J22" s="540" t="s">
        <v>112</v>
      </c>
      <c r="K22" s="540" t="s">
        <v>20</v>
      </c>
      <c r="L22" s="540" t="s">
        <v>438</v>
      </c>
      <c r="M22" s="540" t="s">
        <v>133</v>
      </c>
      <c r="N22" s="538">
        <v>14000</v>
      </c>
      <c r="O22" s="540" t="s">
        <v>150</v>
      </c>
      <c r="P22" s="539">
        <v>910000</v>
      </c>
      <c r="Q22" s="543">
        <v>0</v>
      </c>
      <c r="R22" s="543">
        <v>0</v>
      </c>
      <c r="S22" s="623">
        <f t="shared" si="0"/>
        <v>910000</v>
      </c>
      <c r="T22" s="540" t="s">
        <v>115</v>
      </c>
      <c r="U22" s="545" t="s">
        <v>87</v>
      </c>
      <c r="V22" s="545" t="s">
        <v>87</v>
      </c>
      <c r="W22" s="545" t="s">
        <v>88</v>
      </c>
      <c r="X22" s="545" t="s">
        <v>89</v>
      </c>
      <c r="Y22" s="545" t="s">
        <v>90</v>
      </c>
      <c r="Z22" s="540" t="s">
        <v>116</v>
      </c>
      <c r="AA22" s="545" t="s">
        <v>117</v>
      </c>
    </row>
    <row r="23" spans="2:27">
      <c r="B23" s="545" t="s">
        <v>77</v>
      </c>
      <c r="C23" s="624">
        <v>13</v>
      </c>
      <c r="D23" s="545" t="s">
        <v>107</v>
      </c>
      <c r="E23" s="540" t="s">
        <v>151</v>
      </c>
      <c r="F23" s="540" t="s">
        <v>109</v>
      </c>
      <c r="G23" s="540" t="s">
        <v>152</v>
      </c>
      <c r="H23" s="540" t="s">
        <v>128</v>
      </c>
      <c r="I23" s="545"/>
      <c r="J23" s="540" t="s">
        <v>83</v>
      </c>
      <c r="K23" s="540" t="s">
        <v>20</v>
      </c>
      <c r="L23" s="540" t="s">
        <v>438</v>
      </c>
      <c r="M23" s="540" t="s">
        <v>133</v>
      </c>
      <c r="N23" s="538">
        <v>7000</v>
      </c>
      <c r="O23" s="540" t="s">
        <v>153</v>
      </c>
      <c r="P23" s="537">
        <v>612500</v>
      </c>
      <c r="Q23" s="543">
        <v>0</v>
      </c>
      <c r="R23" s="543">
        <v>0</v>
      </c>
      <c r="S23" s="623">
        <f t="shared" si="0"/>
        <v>612500</v>
      </c>
      <c r="T23" s="540" t="s">
        <v>98</v>
      </c>
      <c r="U23" s="545" t="s">
        <v>87</v>
      </c>
      <c r="V23" s="545" t="s">
        <v>87</v>
      </c>
      <c r="W23" s="545" t="s">
        <v>88</v>
      </c>
      <c r="X23" s="545" t="s">
        <v>89</v>
      </c>
      <c r="Y23" s="545" t="s">
        <v>90</v>
      </c>
      <c r="Z23" s="540" t="s">
        <v>91</v>
      </c>
      <c r="AA23" s="540" t="s">
        <v>122</v>
      </c>
    </row>
    <row r="24" spans="2:27">
      <c r="B24" s="545" t="s">
        <v>77</v>
      </c>
      <c r="C24" s="624">
        <v>14</v>
      </c>
      <c r="D24" s="545" t="s">
        <v>107</v>
      </c>
      <c r="E24" s="540" t="s">
        <v>154</v>
      </c>
      <c r="F24" s="540" t="s">
        <v>109</v>
      </c>
      <c r="G24" s="540" t="s">
        <v>155</v>
      </c>
      <c r="H24" s="540" t="s">
        <v>128</v>
      </c>
      <c r="I24" s="545"/>
      <c r="J24" s="540" t="s">
        <v>83</v>
      </c>
      <c r="K24" s="540" t="s">
        <v>20</v>
      </c>
      <c r="L24" s="540" t="s">
        <v>438</v>
      </c>
      <c r="M24" s="540" t="s">
        <v>133</v>
      </c>
      <c r="N24" s="538">
        <v>7000</v>
      </c>
      <c r="O24" s="540" t="s">
        <v>153</v>
      </c>
      <c r="P24" s="539">
        <v>612500</v>
      </c>
      <c r="Q24" s="543">
        <v>0</v>
      </c>
      <c r="R24" s="543">
        <v>0</v>
      </c>
      <c r="S24" s="623">
        <f t="shared" si="0"/>
        <v>612500</v>
      </c>
      <c r="T24" s="540" t="s">
        <v>98</v>
      </c>
      <c r="U24" s="545" t="s">
        <v>87</v>
      </c>
      <c r="V24" s="545" t="s">
        <v>87</v>
      </c>
      <c r="W24" s="545" t="s">
        <v>88</v>
      </c>
      <c r="X24" s="545" t="s">
        <v>89</v>
      </c>
      <c r="Y24" s="545" t="s">
        <v>90</v>
      </c>
      <c r="Z24" s="540" t="s">
        <v>91</v>
      </c>
      <c r="AA24" s="545" t="s">
        <v>122</v>
      </c>
    </row>
    <row r="25" spans="2:27">
      <c r="B25" s="545" t="s">
        <v>77</v>
      </c>
      <c r="C25" s="545">
        <v>15</v>
      </c>
      <c r="D25" s="545" t="s">
        <v>78</v>
      </c>
      <c r="E25" s="540" t="s">
        <v>156</v>
      </c>
      <c r="F25" s="540" t="s">
        <v>109</v>
      </c>
      <c r="G25" s="540" t="s">
        <v>157</v>
      </c>
      <c r="H25" s="540" t="s">
        <v>143</v>
      </c>
      <c r="I25" s="545"/>
      <c r="J25" s="540" t="s">
        <v>83</v>
      </c>
      <c r="K25" s="540" t="s">
        <v>20</v>
      </c>
      <c r="L25" s="540" t="s">
        <v>750</v>
      </c>
      <c r="M25" s="540" t="s">
        <v>158</v>
      </c>
      <c r="N25" s="536">
        <v>17550</v>
      </c>
      <c r="O25" s="542" t="s">
        <v>159</v>
      </c>
      <c r="P25" s="539">
        <v>3948750</v>
      </c>
      <c r="Q25" s="543">
        <v>0</v>
      </c>
      <c r="R25" s="541">
        <v>14508</v>
      </c>
      <c r="S25" s="623">
        <f t="shared" si="0"/>
        <v>3963258</v>
      </c>
      <c r="T25" s="540" t="s">
        <v>98</v>
      </c>
      <c r="U25" s="545" t="s">
        <v>87</v>
      </c>
      <c r="V25" s="545" t="s">
        <v>87</v>
      </c>
      <c r="W25" s="545" t="s">
        <v>88</v>
      </c>
      <c r="X25" s="545" t="s">
        <v>89</v>
      </c>
      <c r="Y25" s="545" t="s">
        <v>90</v>
      </c>
      <c r="Z25" s="540" t="s">
        <v>91</v>
      </c>
      <c r="AA25" s="540" t="s">
        <v>147</v>
      </c>
    </row>
    <row r="26" spans="2:27">
      <c r="B26" s="545" t="s">
        <v>77</v>
      </c>
      <c r="C26" s="624">
        <v>16</v>
      </c>
      <c r="D26" s="545" t="s">
        <v>107</v>
      </c>
      <c r="E26" s="625" t="s">
        <v>160</v>
      </c>
      <c r="F26" s="545" t="s">
        <v>161</v>
      </c>
      <c r="G26" s="545" t="s">
        <v>162</v>
      </c>
      <c r="H26" s="545" t="s">
        <v>128</v>
      </c>
      <c r="I26" s="545"/>
      <c r="J26" s="545" t="s">
        <v>112</v>
      </c>
      <c r="K26" s="540" t="s">
        <v>20</v>
      </c>
      <c r="L26" s="540" t="s">
        <v>438</v>
      </c>
      <c r="M26" s="545" t="s">
        <v>113</v>
      </c>
      <c r="N26" s="544">
        <v>52250</v>
      </c>
      <c r="O26" s="545" t="s">
        <v>163</v>
      </c>
      <c r="P26" s="537">
        <v>5773625</v>
      </c>
      <c r="Q26" s="543">
        <v>1702182</v>
      </c>
      <c r="R26" s="543">
        <v>706239</v>
      </c>
      <c r="S26" s="623">
        <f t="shared" si="0"/>
        <v>8182046</v>
      </c>
      <c r="T26" s="545" t="s">
        <v>115</v>
      </c>
      <c r="U26" s="625" t="s">
        <v>87</v>
      </c>
      <c r="V26" s="625" t="s">
        <v>87</v>
      </c>
      <c r="W26" s="625" t="s">
        <v>88</v>
      </c>
      <c r="X26" s="625" t="s">
        <v>89</v>
      </c>
      <c r="Y26" s="625" t="s">
        <v>90</v>
      </c>
      <c r="Z26" s="625" t="s">
        <v>116</v>
      </c>
      <c r="AA26" s="545" t="s">
        <v>117</v>
      </c>
    </row>
    <row r="27" spans="2:27">
      <c r="B27" s="545" t="s">
        <v>77</v>
      </c>
      <c r="C27" s="624">
        <v>17</v>
      </c>
      <c r="D27" s="545" t="s">
        <v>107</v>
      </c>
      <c r="E27" s="626" t="s">
        <v>164</v>
      </c>
      <c r="F27" s="545" t="s">
        <v>109</v>
      </c>
      <c r="G27" s="545" t="s">
        <v>165</v>
      </c>
      <c r="H27" s="545" t="s">
        <v>128</v>
      </c>
      <c r="I27" s="545"/>
      <c r="J27" s="545" t="s">
        <v>112</v>
      </c>
      <c r="K27" s="540" t="s">
        <v>20</v>
      </c>
      <c r="L27" s="540" t="s">
        <v>438</v>
      </c>
      <c r="M27" s="545" t="s">
        <v>113</v>
      </c>
      <c r="N27" s="544">
        <v>14000</v>
      </c>
      <c r="O27" s="545" t="s">
        <v>150</v>
      </c>
      <c r="P27" s="537">
        <v>1820000</v>
      </c>
      <c r="Q27" s="543">
        <v>21129</v>
      </c>
      <c r="R27" s="543">
        <v>2888</v>
      </c>
      <c r="S27" s="623">
        <f t="shared" si="0"/>
        <v>1844017</v>
      </c>
      <c r="T27" s="545" t="s">
        <v>115</v>
      </c>
      <c r="U27" s="625" t="s">
        <v>87</v>
      </c>
      <c r="V27" s="625" t="s">
        <v>87</v>
      </c>
      <c r="W27" s="625" t="s">
        <v>88</v>
      </c>
      <c r="X27" s="625" t="s">
        <v>89</v>
      </c>
      <c r="Y27" s="625" t="s">
        <v>90</v>
      </c>
      <c r="Z27" s="625" t="s">
        <v>116</v>
      </c>
      <c r="AA27" s="545" t="s">
        <v>117</v>
      </c>
    </row>
    <row r="28" spans="2:27">
      <c r="B28" s="545" t="s">
        <v>77</v>
      </c>
      <c r="C28" s="624">
        <v>18</v>
      </c>
      <c r="D28" s="545" t="s">
        <v>107</v>
      </c>
      <c r="E28" s="625" t="s">
        <v>166</v>
      </c>
      <c r="F28" s="545" t="s">
        <v>109</v>
      </c>
      <c r="G28" s="545" t="s">
        <v>167</v>
      </c>
      <c r="H28" s="545" t="s">
        <v>128</v>
      </c>
      <c r="I28" s="545"/>
      <c r="J28" s="545" t="s">
        <v>112</v>
      </c>
      <c r="K28" s="540" t="s">
        <v>20</v>
      </c>
      <c r="L28" s="540" t="s">
        <v>438</v>
      </c>
      <c r="M28" s="545" t="s">
        <v>133</v>
      </c>
      <c r="N28" s="544">
        <v>7000</v>
      </c>
      <c r="O28" s="545" t="s">
        <v>153</v>
      </c>
      <c r="P28" s="537">
        <v>910000</v>
      </c>
      <c r="Q28" s="543">
        <v>0</v>
      </c>
      <c r="R28" s="543">
        <v>0</v>
      </c>
      <c r="S28" s="623">
        <f t="shared" si="0"/>
        <v>910000</v>
      </c>
      <c r="T28" s="545" t="s">
        <v>115</v>
      </c>
      <c r="U28" s="625" t="s">
        <v>87</v>
      </c>
      <c r="V28" s="625" t="s">
        <v>87</v>
      </c>
      <c r="W28" s="625" t="s">
        <v>88</v>
      </c>
      <c r="X28" s="625" t="s">
        <v>89</v>
      </c>
      <c r="Y28" s="625" t="s">
        <v>90</v>
      </c>
      <c r="Z28" s="625" t="s">
        <v>116</v>
      </c>
      <c r="AA28" s="545" t="s">
        <v>117</v>
      </c>
    </row>
    <row r="29" spans="2:27">
      <c r="B29" s="545" t="s">
        <v>77</v>
      </c>
      <c r="C29" s="624">
        <v>19</v>
      </c>
      <c r="D29" s="545" t="s">
        <v>107</v>
      </c>
      <c r="E29" s="625" t="s">
        <v>168</v>
      </c>
      <c r="F29" s="545" t="s">
        <v>109</v>
      </c>
      <c r="G29" s="545" t="s">
        <v>169</v>
      </c>
      <c r="H29" s="545" t="s">
        <v>128</v>
      </c>
      <c r="I29" s="545"/>
      <c r="J29" s="545" t="s">
        <v>112</v>
      </c>
      <c r="K29" s="540" t="s">
        <v>20</v>
      </c>
      <c r="L29" s="540" t="s">
        <v>438</v>
      </c>
      <c r="M29" s="545" t="s">
        <v>170</v>
      </c>
      <c r="N29" s="544">
        <v>7000</v>
      </c>
      <c r="O29" s="545" t="s">
        <v>153</v>
      </c>
      <c r="P29" s="537">
        <v>910000</v>
      </c>
      <c r="Q29" s="543">
        <v>1000</v>
      </c>
      <c r="R29" s="543">
        <v>0</v>
      </c>
      <c r="S29" s="623">
        <f t="shared" si="0"/>
        <v>911000</v>
      </c>
      <c r="T29" s="545" t="s">
        <v>115</v>
      </c>
      <c r="U29" s="625" t="s">
        <v>87</v>
      </c>
      <c r="V29" s="625" t="s">
        <v>87</v>
      </c>
      <c r="W29" s="625" t="s">
        <v>88</v>
      </c>
      <c r="X29" s="625" t="s">
        <v>89</v>
      </c>
      <c r="Y29" s="625" t="s">
        <v>90</v>
      </c>
      <c r="Z29" s="625" t="s">
        <v>116</v>
      </c>
      <c r="AA29" s="545" t="s">
        <v>171</v>
      </c>
    </row>
    <row r="30" spans="2:27">
      <c r="B30" s="545" t="s">
        <v>77</v>
      </c>
      <c r="C30" s="624">
        <v>20</v>
      </c>
      <c r="D30" s="545" t="s">
        <v>107</v>
      </c>
      <c r="E30" s="625" t="s">
        <v>172</v>
      </c>
      <c r="F30" s="545" t="s">
        <v>109</v>
      </c>
      <c r="G30" s="545" t="s">
        <v>173</v>
      </c>
      <c r="H30" s="545" t="s">
        <v>128</v>
      </c>
      <c r="I30" s="545"/>
      <c r="J30" s="545" t="s">
        <v>83</v>
      </c>
      <c r="K30" s="540" t="s">
        <v>20</v>
      </c>
      <c r="L30" s="540" t="s">
        <v>438</v>
      </c>
      <c r="M30" s="545" t="s">
        <v>174</v>
      </c>
      <c r="N30" s="544">
        <v>7000</v>
      </c>
      <c r="O30" s="545" t="s">
        <v>153</v>
      </c>
      <c r="P30" s="537">
        <v>1225000</v>
      </c>
      <c r="Q30" s="543">
        <v>18403</v>
      </c>
      <c r="R30" s="543">
        <v>0</v>
      </c>
      <c r="S30" s="623">
        <f t="shared" si="0"/>
        <v>1243403</v>
      </c>
      <c r="T30" s="545" t="s">
        <v>98</v>
      </c>
      <c r="U30" s="625" t="s">
        <v>87</v>
      </c>
      <c r="V30" s="625" t="s">
        <v>87</v>
      </c>
      <c r="W30" s="625" t="s">
        <v>88</v>
      </c>
      <c r="X30" s="625" t="s">
        <v>89</v>
      </c>
      <c r="Y30" s="625" t="s">
        <v>90</v>
      </c>
      <c r="Z30" s="625" t="s">
        <v>91</v>
      </c>
      <c r="AA30" s="545" t="s">
        <v>171</v>
      </c>
    </row>
    <row r="31" spans="2:27">
      <c r="B31" s="545" t="s">
        <v>77</v>
      </c>
      <c r="C31" s="545">
        <v>21</v>
      </c>
      <c r="D31" s="545" t="s">
        <v>78</v>
      </c>
      <c r="E31" s="627" t="s">
        <v>175</v>
      </c>
      <c r="F31" s="627" t="s">
        <v>109</v>
      </c>
      <c r="G31" s="545" t="s">
        <v>176</v>
      </c>
      <c r="H31" s="540" t="s">
        <v>177</v>
      </c>
      <c r="I31" s="545"/>
      <c r="J31" s="545" t="s">
        <v>83</v>
      </c>
      <c r="K31" s="540" t="s">
        <v>20</v>
      </c>
      <c r="L31" s="540" t="s">
        <v>750</v>
      </c>
      <c r="M31" s="545" t="s">
        <v>170</v>
      </c>
      <c r="N31" s="544">
        <v>7000</v>
      </c>
      <c r="O31" s="545" t="s">
        <v>153</v>
      </c>
      <c r="P31" s="537">
        <v>1225000</v>
      </c>
      <c r="Q31" s="543">
        <v>1000</v>
      </c>
      <c r="R31" s="543">
        <v>0</v>
      </c>
      <c r="S31" s="623">
        <f t="shared" si="0"/>
        <v>1226000</v>
      </c>
      <c r="T31" s="545" t="s">
        <v>98</v>
      </c>
      <c r="U31" s="545" t="s">
        <v>87</v>
      </c>
      <c r="V31" s="545" t="s">
        <v>87</v>
      </c>
      <c r="W31" s="545" t="s">
        <v>88</v>
      </c>
      <c r="X31" s="545" t="s">
        <v>89</v>
      </c>
      <c r="Y31" s="545" t="s">
        <v>90</v>
      </c>
      <c r="Z31" s="545" t="s">
        <v>91</v>
      </c>
      <c r="AA31" s="545" t="s">
        <v>171</v>
      </c>
    </row>
    <row r="32" spans="2:27">
      <c r="B32" s="545" t="s">
        <v>77</v>
      </c>
      <c r="C32" s="545">
        <v>22</v>
      </c>
      <c r="D32" s="545" t="s">
        <v>78</v>
      </c>
      <c r="E32" s="627" t="s">
        <v>178</v>
      </c>
      <c r="F32" s="545" t="s">
        <v>109</v>
      </c>
      <c r="G32" s="545" t="s">
        <v>179</v>
      </c>
      <c r="H32" s="545" t="s">
        <v>177</v>
      </c>
      <c r="I32" s="545"/>
      <c r="J32" s="545" t="s">
        <v>83</v>
      </c>
      <c r="K32" s="540" t="s">
        <v>20</v>
      </c>
      <c r="L32" s="540" t="s">
        <v>750</v>
      </c>
      <c r="M32" s="545" t="s">
        <v>105</v>
      </c>
      <c r="N32" s="544">
        <v>11726</v>
      </c>
      <c r="O32" s="545" t="s">
        <v>180</v>
      </c>
      <c r="P32" s="537">
        <v>2638350</v>
      </c>
      <c r="Q32" s="543">
        <v>277493</v>
      </c>
      <c r="R32" s="543">
        <v>9454</v>
      </c>
      <c r="S32" s="623">
        <f t="shared" si="0"/>
        <v>2925297</v>
      </c>
      <c r="T32" s="545" t="s">
        <v>98</v>
      </c>
      <c r="U32" s="545" t="s">
        <v>87</v>
      </c>
      <c r="V32" s="545" t="s">
        <v>87</v>
      </c>
      <c r="W32" s="545" t="s">
        <v>88</v>
      </c>
      <c r="X32" s="545" t="s">
        <v>89</v>
      </c>
      <c r="Y32" s="545" t="s">
        <v>90</v>
      </c>
      <c r="Z32" s="545" t="s">
        <v>91</v>
      </c>
      <c r="AA32" s="545" t="s">
        <v>99</v>
      </c>
    </row>
    <row r="33" spans="2:27">
      <c r="B33" s="545" t="s">
        <v>77</v>
      </c>
      <c r="C33" s="545">
        <v>23</v>
      </c>
      <c r="D33" s="545" t="s">
        <v>78</v>
      </c>
      <c r="E33" s="627" t="s">
        <v>181</v>
      </c>
      <c r="F33" s="545" t="s">
        <v>109</v>
      </c>
      <c r="G33" s="545" t="s">
        <v>182</v>
      </c>
      <c r="H33" s="545" t="s">
        <v>177</v>
      </c>
      <c r="I33" s="545"/>
      <c r="J33" s="545" t="s">
        <v>83</v>
      </c>
      <c r="K33" s="540" t="s">
        <v>20</v>
      </c>
      <c r="L33" s="540" t="s">
        <v>750</v>
      </c>
      <c r="M33" s="545" t="s">
        <v>133</v>
      </c>
      <c r="N33" s="544">
        <v>5823</v>
      </c>
      <c r="O33" s="545" t="s">
        <v>183</v>
      </c>
      <c r="P33" s="537">
        <v>1455750</v>
      </c>
      <c r="Q33" s="543">
        <v>0</v>
      </c>
      <c r="R33" s="543">
        <v>0</v>
      </c>
      <c r="S33" s="623">
        <f t="shared" si="0"/>
        <v>1455750</v>
      </c>
      <c r="T33" s="545" t="s">
        <v>98</v>
      </c>
      <c r="U33" s="545" t="s">
        <v>87</v>
      </c>
      <c r="V33" s="545" t="s">
        <v>87</v>
      </c>
      <c r="W33" s="545" t="s">
        <v>88</v>
      </c>
      <c r="X33" s="545" t="s">
        <v>89</v>
      </c>
      <c r="Y33" s="545" t="s">
        <v>90</v>
      </c>
      <c r="Z33" s="545" t="s">
        <v>91</v>
      </c>
      <c r="AA33" s="545" t="s">
        <v>122</v>
      </c>
    </row>
    <row r="34" spans="2:27">
      <c r="B34" s="545" t="s">
        <v>77</v>
      </c>
      <c r="C34" s="624">
        <v>24</v>
      </c>
      <c r="D34" s="545" t="s">
        <v>107</v>
      </c>
      <c r="E34" s="625" t="s">
        <v>184</v>
      </c>
      <c r="F34" s="545" t="s">
        <v>161</v>
      </c>
      <c r="G34" s="545" t="s">
        <v>185</v>
      </c>
      <c r="H34" s="545" t="s">
        <v>128</v>
      </c>
      <c r="I34" s="545"/>
      <c r="J34" s="545" t="s">
        <v>112</v>
      </c>
      <c r="K34" s="540" t="s">
        <v>20</v>
      </c>
      <c r="L34" s="540" t="s">
        <v>438</v>
      </c>
      <c r="M34" s="545" t="s">
        <v>133</v>
      </c>
      <c r="N34" s="544">
        <v>6800</v>
      </c>
      <c r="O34" s="545" t="s">
        <v>186</v>
      </c>
      <c r="P34" s="537">
        <v>884000</v>
      </c>
      <c r="Q34" s="543">
        <v>0</v>
      </c>
      <c r="R34" s="543">
        <v>0</v>
      </c>
      <c r="S34" s="623">
        <f t="shared" si="0"/>
        <v>884000</v>
      </c>
      <c r="T34" s="545" t="s">
        <v>115</v>
      </c>
      <c r="U34" s="625" t="s">
        <v>87</v>
      </c>
      <c r="V34" s="625" t="s">
        <v>87</v>
      </c>
      <c r="W34" s="625" t="s">
        <v>88</v>
      </c>
      <c r="X34" s="625" t="s">
        <v>89</v>
      </c>
      <c r="Y34" s="625" t="s">
        <v>90</v>
      </c>
      <c r="Z34" s="625" t="s">
        <v>116</v>
      </c>
      <c r="AA34" s="545" t="s">
        <v>117</v>
      </c>
    </row>
    <row r="35" spans="2:27">
      <c r="B35" s="545" t="s">
        <v>77</v>
      </c>
      <c r="C35" s="624">
        <v>26</v>
      </c>
      <c r="D35" s="545" t="s">
        <v>107</v>
      </c>
      <c r="E35" s="625" t="s">
        <v>187</v>
      </c>
      <c r="F35" s="545" t="s">
        <v>161</v>
      </c>
      <c r="G35" s="545" t="s">
        <v>188</v>
      </c>
      <c r="H35" s="545" t="s">
        <v>128</v>
      </c>
      <c r="I35" s="545"/>
      <c r="J35" s="545" t="s">
        <v>112</v>
      </c>
      <c r="K35" s="540" t="s">
        <v>20</v>
      </c>
      <c r="L35" s="540" t="s">
        <v>438</v>
      </c>
      <c r="M35" s="545" t="s">
        <v>133</v>
      </c>
      <c r="N35" s="544">
        <v>1620</v>
      </c>
      <c r="O35" s="545" t="s">
        <v>189</v>
      </c>
      <c r="P35" s="537">
        <v>210600</v>
      </c>
      <c r="Q35" s="543">
        <v>0</v>
      </c>
      <c r="R35" s="543">
        <v>0</v>
      </c>
      <c r="S35" s="623">
        <f t="shared" si="0"/>
        <v>210600</v>
      </c>
      <c r="T35" s="545" t="s">
        <v>115</v>
      </c>
      <c r="U35" s="625" t="s">
        <v>87</v>
      </c>
      <c r="V35" s="625" t="s">
        <v>87</v>
      </c>
      <c r="W35" s="625" t="s">
        <v>88</v>
      </c>
      <c r="X35" s="625" t="s">
        <v>89</v>
      </c>
      <c r="Y35" s="625" t="s">
        <v>190</v>
      </c>
      <c r="Z35" s="625" t="s">
        <v>116</v>
      </c>
      <c r="AA35" s="628" t="s">
        <v>190</v>
      </c>
    </row>
    <row r="36" spans="2:27">
      <c r="B36" s="545" t="s">
        <v>77</v>
      </c>
      <c r="C36" s="624">
        <v>27</v>
      </c>
      <c r="D36" s="545" t="s">
        <v>107</v>
      </c>
      <c r="E36" s="625" t="s">
        <v>191</v>
      </c>
      <c r="F36" s="545" t="s">
        <v>161</v>
      </c>
      <c r="G36" s="545" t="s">
        <v>188</v>
      </c>
      <c r="H36" s="545" t="s">
        <v>128</v>
      </c>
      <c r="I36" s="545"/>
      <c r="J36" s="545" t="s">
        <v>112</v>
      </c>
      <c r="K36" s="540" t="s">
        <v>20</v>
      </c>
      <c r="L36" s="540" t="s">
        <v>438</v>
      </c>
      <c r="M36" s="545" t="s">
        <v>139</v>
      </c>
      <c r="N36" s="544">
        <v>2974</v>
      </c>
      <c r="O36" s="545" t="s">
        <v>192</v>
      </c>
      <c r="P36" s="537">
        <v>386620</v>
      </c>
      <c r="Q36" s="543">
        <v>10349</v>
      </c>
      <c r="R36" s="543">
        <v>1055</v>
      </c>
      <c r="S36" s="623">
        <f t="shared" si="0"/>
        <v>398024</v>
      </c>
      <c r="T36" s="545" t="s">
        <v>115</v>
      </c>
      <c r="U36" s="625" t="s">
        <v>87</v>
      </c>
      <c r="V36" s="625" t="s">
        <v>87</v>
      </c>
      <c r="W36" s="625" t="s">
        <v>190</v>
      </c>
      <c r="X36" s="625" t="s">
        <v>89</v>
      </c>
      <c r="Y36" s="625" t="s">
        <v>90</v>
      </c>
      <c r="Z36" s="625" t="s">
        <v>116</v>
      </c>
      <c r="AA36" s="628" t="s">
        <v>190</v>
      </c>
    </row>
    <row r="37" spans="2:27">
      <c r="B37" s="545" t="s">
        <v>77</v>
      </c>
      <c r="C37" s="624">
        <v>28</v>
      </c>
      <c r="D37" s="545" t="s">
        <v>107</v>
      </c>
      <c r="E37" s="625" t="s">
        <v>193</v>
      </c>
      <c r="F37" s="545" t="s">
        <v>161</v>
      </c>
      <c r="G37" s="545" t="s">
        <v>194</v>
      </c>
      <c r="H37" s="545" t="s">
        <v>128</v>
      </c>
      <c r="I37" s="545"/>
      <c r="J37" s="545" t="s">
        <v>112</v>
      </c>
      <c r="K37" s="540" t="s">
        <v>20</v>
      </c>
      <c r="L37" s="540" t="s">
        <v>438</v>
      </c>
      <c r="M37" s="545" t="s">
        <v>139</v>
      </c>
      <c r="N37" s="544">
        <v>4501</v>
      </c>
      <c r="O37" s="545" t="s">
        <v>195</v>
      </c>
      <c r="P37" s="537">
        <v>585130</v>
      </c>
      <c r="Q37" s="543">
        <v>31505</v>
      </c>
      <c r="R37" s="543">
        <v>6408</v>
      </c>
      <c r="S37" s="623">
        <f t="shared" si="0"/>
        <v>623043</v>
      </c>
      <c r="T37" s="545" t="s">
        <v>115</v>
      </c>
      <c r="U37" s="625" t="s">
        <v>87</v>
      </c>
      <c r="V37" s="625" t="s">
        <v>87</v>
      </c>
      <c r="W37" s="625" t="s">
        <v>88</v>
      </c>
      <c r="X37" s="625" t="s">
        <v>89</v>
      </c>
      <c r="Y37" s="625" t="s">
        <v>90</v>
      </c>
      <c r="Z37" s="625" t="s">
        <v>116</v>
      </c>
      <c r="AA37" s="621" t="s">
        <v>135</v>
      </c>
    </row>
    <row r="38" spans="2:27">
      <c r="B38" s="545" t="s">
        <v>77</v>
      </c>
      <c r="C38" s="624">
        <v>29</v>
      </c>
      <c r="D38" s="545" t="s">
        <v>107</v>
      </c>
      <c r="E38" s="626" t="s">
        <v>196</v>
      </c>
      <c r="F38" s="545" t="s">
        <v>161</v>
      </c>
      <c r="G38" s="545" t="s">
        <v>197</v>
      </c>
      <c r="H38" s="545" t="s">
        <v>128</v>
      </c>
      <c r="I38" s="545"/>
      <c r="J38" s="545" t="s">
        <v>83</v>
      </c>
      <c r="K38" s="540" t="s">
        <v>20</v>
      </c>
      <c r="L38" s="540" t="s">
        <v>438</v>
      </c>
      <c r="M38" s="545" t="s">
        <v>113</v>
      </c>
      <c r="N38" s="544">
        <v>8090</v>
      </c>
      <c r="O38" s="545" t="s">
        <v>198</v>
      </c>
      <c r="P38" s="537">
        <v>1415750</v>
      </c>
      <c r="Q38" s="543">
        <v>104853</v>
      </c>
      <c r="R38" s="543">
        <v>40072</v>
      </c>
      <c r="S38" s="623">
        <f t="shared" si="0"/>
        <v>1560675</v>
      </c>
      <c r="T38" s="545" t="s">
        <v>98</v>
      </c>
      <c r="U38" s="625" t="s">
        <v>87</v>
      </c>
      <c r="V38" s="625" t="s">
        <v>87</v>
      </c>
      <c r="W38" s="625" t="s">
        <v>88</v>
      </c>
      <c r="X38" s="625" t="s">
        <v>89</v>
      </c>
      <c r="Y38" s="625" t="s">
        <v>90</v>
      </c>
      <c r="Z38" s="625" t="s">
        <v>87</v>
      </c>
      <c r="AA38" s="628" t="s">
        <v>190</v>
      </c>
    </row>
    <row r="39" spans="2:27">
      <c r="B39" s="545" t="s">
        <v>77</v>
      </c>
      <c r="C39" s="624">
        <v>30</v>
      </c>
      <c r="D39" s="545" t="s">
        <v>107</v>
      </c>
      <c r="E39" s="626" t="s">
        <v>199</v>
      </c>
      <c r="F39" s="545" t="s">
        <v>161</v>
      </c>
      <c r="G39" s="545" t="s">
        <v>200</v>
      </c>
      <c r="H39" s="545" t="s">
        <v>201</v>
      </c>
      <c r="I39" s="545"/>
      <c r="J39" s="545" t="s">
        <v>83</v>
      </c>
      <c r="K39" s="540" t="s">
        <v>20</v>
      </c>
      <c r="L39" s="540" t="s">
        <v>438</v>
      </c>
      <c r="M39" s="545" t="s">
        <v>170</v>
      </c>
      <c r="N39" s="544">
        <v>9930</v>
      </c>
      <c r="O39" s="545" t="s">
        <v>202</v>
      </c>
      <c r="P39" s="537">
        <v>1737750</v>
      </c>
      <c r="Q39" s="543">
        <v>1000</v>
      </c>
      <c r="R39" s="543">
        <v>0</v>
      </c>
      <c r="S39" s="623">
        <f t="shared" si="0"/>
        <v>1738750</v>
      </c>
      <c r="T39" s="545" t="s">
        <v>98</v>
      </c>
      <c r="U39" s="625" t="s">
        <v>87</v>
      </c>
      <c r="V39" s="625" t="s">
        <v>87</v>
      </c>
      <c r="W39" s="625" t="s">
        <v>88</v>
      </c>
      <c r="X39" s="625" t="s">
        <v>89</v>
      </c>
      <c r="Y39" s="625" t="s">
        <v>90</v>
      </c>
      <c r="Z39" s="625" t="s">
        <v>91</v>
      </c>
      <c r="AA39" s="545" t="s">
        <v>171</v>
      </c>
    </row>
    <row r="40" spans="2:27">
      <c r="B40" s="545" t="s">
        <v>77</v>
      </c>
      <c r="C40" s="545">
        <v>31</v>
      </c>
      <c r="D40" s="545" t="s">
        <v>78</v>
      </c>
      <c r="E40" s="627" t="s">
        <v>203</v>
      </c>
      <c r="F40" s="545" t="s">
        <v>161</v>
      </c>
      <c r="G40" s="545" t="s">
        <v>204</v>
      </c>
      <c r="H40" s="545" t="s">
        <v>205</v>
      </c>
      <c r="I40" s="545"/>
      <c r="J40" s="545" t="s">
        <v>83</v>
      </c>
      <c r="K40" s="540" t="s">
        <v>20</v>
      </c>
      <c r="L40" s="540" t="s">
        <v>750</v>
      </c>
      <c r="M40" s="545" t="s">
        <v>105</v>
      </c>
      <c r="N40" s="544">
        <v>13050</v>
      </c>
      <c r="O40" s="545" t="s">
        <v>206</v>
      </c>
      <c r="P40" s="537">
        <v>2936250</v>
      </c>
      <c r="Q40" s="543">
        <v>197779</v>
      </c>
      <c r="R40" s="543">
        <v>77400</v>
      </c>
      <c r="S40" s="623">
        <f t="shared" si="0"/>
        <v>3211429</v>
      </c>
      <c r="T40" s="545" t="s">
        <v>98</v>
      </c>
      <c r="U40" s="545" t="s">
        <v>87</v>
      </c>
      <c r="V40" s="545" t="s">
        <v>87</v>
      </c>
      <c r="W40" s="545" t="s">
        <v>88</v>
      </c>
      <c r="X40" s="545" t="s">
        <v>89</v>
      </c>
      <c r="Y40" s="545" t="s">
        <v>90</v>
      </c>
      <c r="Z40" s="545" t="s">
        <v>91</v>
      </c>
      <c r="AA40" s="545" t="s">
        <v>99</v>
      </c>
    </row>
    <row r="41" spans="2:27">
      <c r="B41" s="545" t="s">
        <v>77</v>
      </c>
      <c r="C41" s="545">
        <v>32</v>
      </c>
      <c r="D41" s="545" t="s">
        <v>78</v>
      </c>
      <c r="E41" s="627" t="s">
        <v>207</v>
      </c>
      <c r="F41" s="545" t="s">
        <v>161</v>
      </c>
      <c r="G41" s="545" t="s">
        <v>208</v>
      </c>
      <c r="H41" s="545" t="s">
        <v>209</v>
      </c>
      <c r="I41" s="545"/>
      <c r="J41" s="545" t="s">
        <v>83</v>
      </c>
      <c r="K41" s="540" t="s">
        <v>20</v>
      </c>
      <c r="L41" s="540" t="s">
        <v>750</v>
      </c>
      <c r="M41" s="545" t="s">
        <v>210</v>
      </c>
      <c r="N41" s="544">
        <v>14154.4</v>
      </c>
      <c r="O41" s="545" t="s">
        <v>211</v>
      </c>
      <c r="P41" s="537">
        <v>3184650</v>
      </c>
      <c r="Q41" s="543">
        <v>0</v>
      </c>
      <c r="R41" s="543">
        <v>0</v>
      </c>
      <c r="S41" s="623">
        <f t="shared" si="0"/>
        <v>3184650</v>
      </c>
      <c r="T41" s="545" t="s">
        <v>98</v>
      </c>
      <c r="U41" s="545" t="s">
        <v>87</v>
      </c>
      <c r="V41" s="545" t="s">
        <v>87</v>
      </c>
      <c r="W41" s="545" t="s">
        <v>88</v>
      </c>
      <c r="X41" s="545" t="s">
        <v>89</v>
      </c>
      <c r="Y41" s="545" t="s">
        <v>90</v>
      </c>
      <c r="Z41" s="545" t="s">
        <v>91</v>
      </c>
      <c r="AA41" s="545" t="s">
        <v>122</v>
      </c>
    </row>
    <row r="42" spans="2:27">
      <c r="B42" s="545" t="s">
        <v>77</v>
      </c>
      <c r="C42" s="545" t="s">
        <v>212</v>
      </c>
      <c r="D42" s="545" t="s">
        <v>107</v>
      </c>
      <c r="E42" s="625" t="s">
        <v>213</v>
      </c>
      <c r="F42" s="545" t="s">
        <v>161</v>
      </c>
      <c r="G42" s="545" t="s">
        <v>214</v>
      </c>
      <c r="H42" s="545" t="s">
        <v>128</v>
      </c>
      <c r="I42" s="545"/>
      <c r="J42" s="545" t="s">
        <v>112</v>
      </c>
      <c r="K42" s="540" t="s">
        <v>20</v>
      </c>
      <c r="L42" s="540" t="s">
        <v>750</v>
      </c>
      <c r="M42" s="545" t="s">
        <v>158</v>
      </c>
      <c r="N42" s="544">
        <v>5538</v>
      </c>
      <c r="O42" s="545" t="s">
        <v>215</v>
      </c>
      <c r="P42" s="537">
        <v>719940</v>
      </c>
      <c r="Q42" s="543">
        <v>0</v>
      </c>
      <c r="R42" s="543">
        <v>1870</v>
      </c>
      <c r="S42" s="623">
        <f t="shared" si="0"/>
        <v>721810</v>
      </c>
      <c r="T42" s="545" t="s">
        <v>115</v>
      </c>
      <c r="U42" s="625" t="s">
        <v>87</v>
      </c>
      <c r="V42" s="625" t="s">
        <v>87</v>
      </c>
      <c r="W42" s="625" t="s">
        <v>88</v>
      </c>
      <c r="X42" s="625" t="s">
        <v>89</v>
      </c>
      <c r="Y42" s="625" t="s">
        <v>90</v>
      </c>
      <c r="Z42" s="625" t="s">
        <v>116</v>
      </c>
      <c r="AA42" s="545" t="s">
        <v>135</v>
      </c>
    </row>
    <row r="43" spans="2:27">
      <c r="B43" s="545" t="s">
        <v>216</v>
      </c>
      <c r="C43" s="545">
        <v>1</v>
      </c>
      <c r="D43" s="545" t="s">
        <v>78</v>
      </c>
      <c r="E43" s="545" t="s">
        <v>217</v>
      </c>
      <c r="F43" s="545" t="s">
        <v>80</v>
      </c>
      <c r="G43" s="545" t="s">
        <v>218</v>
      </c>
      <c r="H43" s="545" t="s">
        <v>219</v>
      </c>
      <c r="I43" s="545"/>
      <c r="J43" s="545" t="s">
        <v>112</v>
      </c>
      <c r="K43" s="545" t="s">
        <v>445</v>
      </c>
      <c r="L43" s="540" t="s">
        <v>750</v>
      </c>
      <c r="M43" s="545" t="s">
        <v>133</v>
      </c>
      <c r="N43" s="544">
        <v>3250</v>
      </c>
      <c r="O43" s="545" t="s">
        <v>220</v>
      </c>
      <c r="P43" s="537">
        <v>1056250</v>
      </c>
      <c r="Q43" s="543">
        <v>0</v>
      </c>
      <c r="R43" s="543">
        <v>0</v>
      </c>
      <c r="S43" s="623">
        <f t="shared" ref="S43:S74" si="1">SUM(P43:R43)</f>
        <v>1056250</v>
      </c>
      <c r="T43" s="545" t="s">
        <v>115</v>
      </c>
      <c r="U43" s="545" t="s">
        <v>87</v>
      </c>
      <c r="V43" s="545" t="s">
        <v>87</v>
      </c>
      <c r="W43" s="545" t="s">
        <v>87</v>
      </c>
      <c r="X43" s="545" t="s">
        <v>89</v>
      </c>
      <c r="Y43" s="545" t="s">
        <v>90</v>
      </c>
      <c r="Z43" s="545" t="s">
        <v>87</v>
      </c>
      <c r="AA43" s="545" t="s">
        <v>221</v>
      </c>
    </row>
    <row r="44" spans="2:27">
      <c r="B44" s="545" t="s">
        <v>216</v>
      </c>
      <c r="C44" s="545">
        <v>2</v>
      </c>
      <c r="D44" s="545" t="s">
        <v>78</v>
      </c>
      <c r="E44" s="545" t="s">
        <v>222</v>
      </c>
      <c r="F44" s="545" t="s">
        <v>80</v>
      </c>
      <c r="G44" s="545" t="s">
        <v>223</v>
      </c>
      <c r="H44" s="545" t="s">
        <v>219</v>
      </c>
      <c r="I44" s="545"/>
      <c r="J44" s="545" t="s">
        <v>112</v>
      </c>
      <c r="K44" s="545" t="s">
        <v>445</v>
      </c>
      <c r="L44" s="540" t="s">
        <v>750</v>
      </c>
      <c r="M44" s="545" t="s">
        <v>133</v>
      </c>
      <c r="N44" s="544">
        <v>3450</v>
      </c>
      <c r="O44" s="545" t="s">
        <v>224</v>
      </c>
      <c r="P44" s="537">
        <v>1035000</v>
      </c>
      <c r="Q44" s="543">
        <v>0</v>
      </c>
      <c r="R44" s="543">
        <v>0</v>
      </c>
      <c r="S44" s="623">
        <f t="shared" si="1"/>
        <v>1035000</v>
      </c>
      <c r="T44" s="545" t="s">
        <v>115</v>
      </c>
      <c r="U44" s="545" t="s">
        <v>87</v>
      </c>
      <c r="V44" s="545" t="s">
        <v>87</v>
      </c>
      <c r="W44" s="545" t="s">
        <v>87</v>
      </c>
      <c r="X44" s="545" t="s">
        <v>89</v>
      </c>
      <c r="Y44" s="545" t="s">
        <v>90</v>
      </c>
      <c r="Z44" s="545" t="s">
        <v>116</v>
      </c>
      <c r="AA44" s="545" t="s">
        <v>225</v>
      </c>
    </row>
    <row r="45" spans="2:27">
      <c r="B45" s="545" t="s">
        <v>216</v>
      </c>
      <c r="C45" s="545">
        <v>3</v>
      </c>
      <c r="D45" s="545" t="s">
        <v>78</v>
      </c>
      <c r="E45" s="545" t="s">
        <v>226</v>
      </c>
      <c r="F45" s="545" t="s">
        <v>80</v>
      </c>
      <c r="G45" s="545" t="s">
        <v>227</v>
      </c>
      <c r="H45" s="545" t="s">
        <v>228</v>
      </c>
      <c r="I45" s="545"/>
      <c r="J45" s="545" t="s">
        <v>112</v>
      </c>
      <c r="K45" s="545" t="s">
        <v>445</v>
      </c>
      <c r="L45" s="540" t="s">
        <v>750</v>
      </c>
      <c r="M45" s="545" t="s">
        <v>229</v>
      </c>
      <c r="N45" s="544">
        <v>6900</v>
      </c>
      <c r="O45" s="545" t="s">
        <v>230</v>
      </c>
      <c r="P45" s="537">
        <v>2070000</v>
      </c>
      <c r="Q45" s="543">
        <v>0</v>
      </c>
      <c r="R45" s="543">
        <v>0</v>
      </c>
      <c r="S45" s="623">
        <f t="shared" si="1"/>
        <v>2070000</v>
      </c>
      <c r="T45" s="545" t="s">
        <v>115</v>
      </c>
      <c r="U45" s="545" t="s">
        <v>87</v>
      </c>
      <c r="V45" s="545" t="s">
        <v>87</v>
      </c>
      <c r="W45" s="545" t="s">
        <v>87</v>
      </c>
      <c r="X45" s="545" t="s">
        <v>190</v>
      </c>
      <c r="Y45" s="545" t="s">
        <v>90</v>
      </c>
      <c r="Z45" s="545" t="s">
        <v>116</v>
      </c>
      <c r="AA45" s="545" t="s">
        <v>231</v>
      </c>
    </row>
    <row r="46" spans="2:27">
      <c r="B46" s="545" t="s">
        <v>216</v>
      </c>
      <c r="C46" s="629">
        <v>4</v>
      </c>
      <c r="D46" s="545" t="s">
        <v>107</v>
      </c>
      <c r="E46" s="545" t="s">
        <v>232</v>
      </c>
      <c r="F46" s="545" t="s">
        <v>80</v>
      </c>
      <c r="G46" s="545" t="s">
        <v>233</v>
      </c>
      <c r="H46" s="545" t="s">
        <v>234</v>
      </c>
      <c r="I46" s="545"/>
      <c r="J46" s="545" t="s">
        <v>112</v>
      </c>
      <c r="K46" s="545" t="s">
        <v>445</v>
      </c>
      <c r="L46" s="545" t="s">
        <v>438</v>
      </c>
      <c r="M46" s="545" t="s">
        <v>235</v>
      </c>
      <c r="N46" s="544">
        <v>6900</v>
      </c>
      <c r="O46" s="545" t="s">
        <v>230</v>
      </c>
      <c r="P46" s="537">
        <v>2070000</v>
      </c>
      <c r="Q46" s="543">
        <v>116411</v>
      </c>
      <c r="R46" s="543">
        <v>2202</v>
      </c>
      <c r="S46" s="623">
        <f t="shared" si="1"/>
        <v>2188613</v>
      </c>
      <c r="T46" s="545" t="s">
        <v>115</v>
      </c>
      <c r="U46" s="545" t="s">
        <v>87</v>
      </c>
      <c r="V46" s="545" t="s">
        <v>87</v>
      </c>
      <c r="W46" s="545" t="s">
        <v>87</v>
      </c>
      <c r="X46" s="545" t="s">
        <v>89</v>
      </c>
      <c r="Y46" s="545" t="s">
        <v>90</v>
      </c>
      <c r="Z46" s="545" t="s">
        <v>116</v>
      </c>
      <c r="AA46" s="545" t="s">
        <v>99</v>
      </c>
    </row>
    <row r="47" spans="2:27">
      <c r="B47" s="545" t="s">
        <v>216</v>
      </c>
      <c r="C47" s="629">
        <v>5</v>
      </c>
      <c r="D47" s="545" t="s">
        <v>107</v>
      </c>
      <c r="E47" s="540" t="s">
        <v>236</v>
      </c>
      <c r="F47" s="540" t="s">
        <v>80</v>
      </c>
      <c r="G47" s="540" t="s">
        <v>237</v>
      </c>
      <c r="H47" s="540" t="s">
        <v>234</v>
      </c>
      <c r="I47" s="545"/>
      <c r="J47" s="540" t="s">
        <v>112</v>
      </c>
      <c r="K47" s="545" t="s">
        <v>445</v>
      </c>
      <c r="L47" s="545" t="s">
        <v>438</v>
      </c>
      <c r="M47" s="540" t="s">
        <v>238</v>
      </c>
      <c r="N47" s="538">
        <v>13800</v>
      </c>
      <c r="O47" s="540" t="s">
        <v>239</v>
      </c>
      <c r="P47" s="537">
        <v>4140000</v>
      </c>
      <c r="Q47" s="543">
        <v>0</v>
      </c>
      <c r="R47" s="541">
        <v>2975</v>
      </c>
      <c r="S47" s="623">
        <f t="shared" si="1"/>
        <v>4142975</v>
      </c>
      <c r="T47" s="540" t="s">
        <v>115</v>
      </c>
      <c r="U47" s="545" t="s">
        <v>87</v>
      </c>
      <c r="V47" s="545" t="s">
        <v>87</v>
      </c>
      <c r="W47" s="545" t="s">
        <v>87</v>
      </c>
      <c r="X47" s="545" t="s">
        <v>89</v>
      </c>
      <c r="Y47" s="545" t="s">
        <v>90</v>
      </c>
      <c r="Z47" s="545" t="s">
        <v>116</v>
      </c>
      <c r="AA47" s="545" t="s">
        <v>240</v>
      </c>
    </row>
    <row r="48" spans="2:27">
      <c r="B48" s="545" t="s">
        <v>216</v>
      </c>
      <c r="C48" s="629">
        <v>6</v>
      </c>
      <c r="D48" s="545" t="s">
        <v>107</v>
      </c>
      <c r="E48" s="545" t="s">
        <v>241</v>
      </c>
      <c r="F48" s="545" t="s">
        <v>80</v>
      </c>
      <c r="G48" s="545" t="s">
        <v>242</v>
      </c>
      <c r="H48" s="545" t="s">
        <v>243</v>
      </c>
      <c r="I48" s="545"/>
      <c r="J48" s="545" t="s">
        <v>112</v>
      </c>
      <c r="K48" s="545" t="s">
        <v>445</v>
      </c>
      <c r="L48" s="545" t="s">
        <v>438</v>
      </c>
      <c r="M48" s="625" t="s">
        <v>133</v>
      </c>
      <c r="N48" s="544">
        <v>6900</v>
      </c>
      <c r="O48" s="545" t="s">
        <v>230</v>
      </c>
      <c r="P48" s="630">
        <v>2070000</v>
      </c>
      <c r="Q48" s="631">
        <v>0</v>
      </c>
      <c r="R48" s="632">
        <v>0</v>
      </c>
      <c r="S48" s="623">
        <f t="shared" si="1"/>
        <v>2070000</v>
      </c>
      <c r="T48" s="625" t="s">
        <v>115</v>
      </c>
      <c r="U48" s="545" t="s">
        <v>87</v>
      </c>
      <c r="V48" s="545" t="s">
        <v>87</v>
      </c>
      <c r="W48" s="545" t="s">
        <v>87</v>
      </c>
      <c r="X48" s="545" t="s">
        <v>89</v>
      </c>
      <c r="Y48" s="545" t="s">
        <v>90</v>
      </c>
      <c r="Z48" s="545" t="s">
        <v>244</v>
      </c>
      <c r="AA48" s="545" t="s">
        <v>245</v>
      </c>
    </row>
    <row r="49" spans="2:27">
      <c r="B49" s="545" t="s">
        <v>216</v>
      </c>
      <c r="C49" s="629">
        <v>7</v>
      </c>
      <c r="D49" s="545" t="s">
        <v>107</v>
      </c>
      <c r="E49" s="540" t="s">
        <v>246</v>
      </c>
      <c r="F49" s="540" t="s">
        <v>80</v>
      </c>
      <c r="G49" s="540" t="s">
        <v>247</v>
      </c>
      <c r="H49" s="540" t="s">
        <v>234</v>
      </c>
      <c r="I49" s="545"/>
      <c r="J49" s="540" t="s">
        <v>112</v>
      </c>
      <c r="K49" s="545" t="s">
        <v>445</v>
      </c>
      <c r="L49" s="545" t="s">
        <v>438</v>
      </c>
      <c r="M49" s="540" t="s">
        <v>113</v>
      </c>
      <c r="N49" s="538">
        <v>13800</v>
      </c>
      <c r="O49" s="540" t="s">
        <v>239</v>
      </c>
      <c r="P49" s="537">
        <v>4140000</v>
      </c>
      <c r="Q49" s="541">
        <v>197950</v>
      </c>
      <c r="R49" s="539">
        <v>9903</v>
      </c>
      <c r="S49" s="623">
        <f t="shared" si="1"/>
        <v>4347853</v>
      </c>
      <c r="T49" s="540" t="s">
        <v>115</v>
      </c>
      <c r="U49" s="545" t="s">
        <v>87</v>
      </c>
      <c r="V49" s="545" t="s">
        <v>87</v>
      </c>
      <c r="W49" s="545" t="s">
        <v>87</v>
      </c>
      <c r="X49" s="545" t="s">
        <v>89</v>
      </c>
      <c r="Y49" s="545" t="s">
        <v>90</v>
      </c>
      <c r="Z49" s="545" t="s">
        <v>116</v>
      </c>
      <c r="AA49" s="545" t="s">
        <v>117</v>
      </c>
    </row>
    <row r="50" spans="2:27">
      <c r="B50" s="545" t="s">
        <v>216</v>
      </c>
      <c r="C50" s="629">
        <v>8</v>
      </c>
      <c r="D50" s="545" t="s">
        <v>107</v>
      </c>
      <c r="E50" s="540" t="s">
        <v>248</v>
      </c>
      <c r="F50" s="540" t="s">
        <v>80</v>
      </c>
      <c r="G50" s="622" t="s">
        <v>249</v>
      </c>
      <c r="H50" s="540" t="s">
        <v>234</v>
      </c>
      <c r="I50" s="545"/>
      <c r="J50" s="540" t="s">
        <v>112</v>
      </c>
      <c r="K50" s="545" t="s">
        <v>445</v>
      </c>
      <c r="L50" s="545" t="s">
        <v>438</v>
      </c>
      <c r="M50" s="540" t="s">
        <v>113</v>
      </c>
      <c r="N50" s="538">
        <v>6900</v>
      </c>
      <c r="O50" s="540" t="s">
        <v>230</v>
      </c>
      <c r="P50" s="537">
        <v>2070000</v>
      </c>
      <c r="Q50" s="541">
        <v>117464</v>
      </c>
      <c r="R50" s="541">
        <v>18982</v>
      </c>
      <c r="S50" s="623">
        <f t="shared" si="1"/>
        <v>2206446</v>
      </c>
      <c r="T50" s="540" t="s">
        <v>115</v>
      </c>
      <c r="U50" s="545" t="s">
        <v>87</v>
      </c>
      <c r="V50" s="545" t="s">
        <v>87</v>
      </c>
      <c r="W50" s="545" t="s">
        <v>87</v>
      </c>
      <c r="X50" s="545" t="s">
        <v>89</v>
      </c>
      <c r="Y50" s="545" t="s">
        <v>90</v>
      </c>
      <c r="Z50" s="545" t="s">
        <v>116</v>
      </c>
      <c r="AA50" s="545" t="s">
        <v>117</v>
      </c>
    </row>
    <row r="51" spans="2:27">
      <c r="B51" s="545" t="s">
        <v>216</v>
      </c>
      <c r="C51" s="629">
        <v>9</v>
      </c>
      <c r="D51" s="545" t="s">
        <v>107</v>
      </c>
      <c r="E51" s="540" t="s">
        <v>250</v>
      </c>
      <c r="F51" s="540" t="s">
        <v>80</v>
      </c>
      <c r="G51" s="540" t="s">
        <v>251</v>
      </c>
      <c r="H51" s="622" t="s">
        <v>252</v>
      </c>
      <c r="I51" s="545"/>
      <c r="J51" s="540" t="s">
        <v>112</v>
      </c>
      <c r="K51" s="545" t="s">
        <v>445</v>
      </c>
      <c r="L51" s="545" t="s">
        <v>438</v>
      </c>
      <c r="M51" s="540" t="s">
        <v>133</v>
      </c>
      <c r="N51" s="538">
        <v>6900</v>
      </c>
      <c r="O51" s="540" t="s">
        <v>230</v>
      </c>
      <c r="P51" s="537">
        <v>2070000</v>
      </c>
      <c r="Q51" s="543">
        <v>0</v>
      </c>
      <c r="R51" s="543">
        <v>0</v>
      </c>
      <c r="S51" s="623">
        <f t="shared" si="1"/>
        <v>2070000</v>
      </c>
      <c r="T51" s="545" t="s">
        <v>115</v>
      </c>
      <c r="U51" s="545" t="s">
        <v>87</v>
      </c>
      <c r="V51" s="545" t="s">
        <v>87</v>
      </c>
      <c r="W51" s="545" t="s">
        <v>87</v>
      </c>
      <c r="X51" s="545" t="s">
        <v>89</v>
      </c>
      <c r="Y51" s="545" t="s">
        <v>90</v>
      </c>
      <c r="Z51" s="545" t="s">
        <v>116</v>
      </c>
      <c r="AA51" s="545" t="s">
        <v>240</v>
      </c>
    </row>
    <row r="52" spans="2:27">
      <c r="B52" s="545" t="s">
        <v>216</v>
      </c>
      <c r="C52" s="629">
        <v>10</v>
      </c>
      <c r="D52" s="545" t="s">
        <v>107</v>
      </c>
      <c r="E52" s="540" t="s">
        <v>253</v>
      </c>
      <c r="F52" s="540" t="s">
        <v>80</v>
      </c>
      <c r="G52" s="622" t="s">
        <v>254</v>
      </c>
      <c r="H52" s="540" t="s">
        <v>255</v>
      </c>
      <c r="I52" s="545"/>
      <c r="J52" s="540" t="s">
        <v>112</v>
      </c>
      <c r="K52" s="545" t="s">
        <v>445</v>
      </c>
      <c r="L52" s="545" t="s">
        <v>438</v>
      </c>
      <c r="M52" s="540" t="s">
        <v>133</v>
      </c>
      <c r="N52" s="538">
        <v>24288</v>
      </c>
      <c r="O52" s="540" t="s">
        <v>256</v>
      </c>
      <c r="P52" s="539">
        <v>6557760</v>
      </c>
      <c r="Q52" s="543">
        <v>0</v>
      </c>
      <c r="R52" s="543">
        <v>0</v>
      </c>
      <c r="S52" s="623">
        <f t="shared" si="1"/>
        <v>6557760</v>
      </c>
      <c r="T52" s="545" t="s">
        <v>115</v>
      </c>
      <c r="U52" s="545" t="s">
        <v>87</v>
      </c>
      <c r="V52" s="545" t="s">
        <v>87</v>
      </c>
      <c r="W52" s="545" t="s">
        <v>87</v>
      </c>
      <c r="X52" s="545" t="s">
        <v>89</v>
      </c>
      <c r="Y52" s="545" t="s">
        <v>90</v>
      </c>
      <c r="Z52" s="545" t="s">
        <v>116</v>
      </c>
      <c r="AA52" s="540" t="s">
        <v>122</v>
      </c>
    </row>
    <row r="53" spans="2:27">
      <c r="B53" s="545" t="s">
        <v>216</v>
      </c>
      <c r="C53" s="545">
        <v>11</v>
      </c>
      <c r="D53" s="545" t="s">
        <v>78</v>
      </c>
      <c r="E53" s="545" t="s">
        <v>257</v>
      </c>
      <c r="F53" s="545" t="s">
        <v>80</v>
      </c>
      <c r="G53" s="545" t="s">
        <v>258</v>
      </c>
      <c r="H53" s="545" t="s">
        <v>219</v>
      </c>
      <c r="I53" s="545"/>
      <c r="J53" s="545" t="s">
        <v>112</v>
      </c>
      <c r="K53" s="545" t="s">
        <v>445</v>
      </c>
      <c r="L53" s="540" t="s">
        <v>750</v>
      </c>
      <c r="M53" s="545" t="s">
        <v>133</v>
      </c>
      <c r="N53" s="544">
        <v>7106</v>
      </c>
      <c r="O53" s="545" t="s">
        <v>259</v>
      </c>
      <c r="P53" s="537">
        <v>2309450</v>
      </c>
      <c r="Q53" s="543">
        <v>0</v>
      </c>
      <c r="R53" s="543">
        <v>0</v>
      </c>
      <c r="S53" s="623">
        <f t="shared" si="1"/>
        <v>2309450</v>
      </c>
      <c r="T53" s="545" t="s">
        <v>115</v>
      </c>
      <c r="U53" s="545" t="s">
        <v>87</v>
      </c>
      <c r="V53" s="545" t="s">
        <v>87</v>
      </c>
      <c r="W53" s="545" t="s">
        <v>87</v>
      </c>
      <c r="X53" s="545" t="s">
        <v>89</v>
      </c>
      <c r="Y53" s="545" t="s">
        <v>90</v>
      </c>
      <c r="Z53" s="545" t="s">
        <v>116</v>
      </c>
      <c r="AA53" s="545" t="s">
        <v>260</v>
      </c>
    </row>
    <row r="54" spans="2:27">
      <c r="B54" s="545" t="s">
        <v>216</v>
      </c>
      <c r="C54" s="545">
        <v>12</v>
      </c>
      <c r="D54" s="545" t="s">
        <v>78</v>
      </c>
      <c r="E54" s="545" t="s">
        <v>261</v>
      </c>
      <c r="F54" s="545" t="s">
        <v>101</v>
      </c>
      <c r="G54" s="545" t="s">
        <v>262</v>
      </c>
      <c r="H54" s="545" t="s">
        <v>219</v>
      </c>
      <c r="I54" s="545"/>
      <c r="J54" s="545" t="s">
        <v>112</v>
      </c>
      <c r="K54" s="545" t="s">
        <v>445</v>
      </c>
      <c r="L54" s="540" t="s">
        <v>750</v>
      </c>
      <c r="M54" s="545" t="s">
        <v>263</v>
      </c>
      <c r="N54" s="544">
        <v>5250</v>
      </c>
      <c r="O54" s="545" t="s">
        <v>264</v>
      </c>
      <c r="P54" s="537">
        <v>1706250</v>
      </c>
      <c r="Q54" s="543">
        <v>347336</v>
      </c>
      <c r="R54" s="543">
        <v>34141</v>
      </c>
      <c r="S54" s="623">
        <f t="shared" si="1"/>
        <v>2087727</v>
      </c>
      <c r="T54" s="545" t="s">
        <v>115</v>
      </c>
      <c r="U54" s="545" t="s">
        <v>87</v>
      </c>
      <c r="V54" s="545" t="s">
        <v>87</v>
      </c>
      <c r="W54" s="545" t="s">
        <v>87</v>
      </c>
      <c r="X54" s="545" t="s">
        <v>89</v>
      </c>
      <c r="Y54" s="545" t="s">
        <v>90</v>
      </c>
      <c r="Z54" s="545" t="s">
        <v>116</v>
      </c>
      <c r="AA54" s="545" t="s">
        <v>260</v>
      </c>
    </row>
    <row r="55" spans="2:27">
      <c r="B55" s="545" t="s">
        <v>216</v>
      </c>
      <c r="C55" s="545">
        <v>13</v>
      </c>
      <c r="D55" s="545" t="s">
        <v>78</v>
      </c>
      <c r="E55" s="545" t="s">
        <v>265</v>
      </c>
      <c r="F55" s="545" t="s">
        <v>101</v>
      </c>
      <c r="G55" s="545" t="s">
        <v>266</v>
      </c>
      <c r="H55" s="545" t="s">
        <v>219</v>
      </c>
      <c r="I55" s="545"/>
      <c r="J55" s="545" t="s">
        <v>112</v>
      </c>
      <c r="K55" s="545" t="s">
        <v>445</v>
      </c>
      <c r="L55" s="540" t="s">
        <v>750</v>
      </c>
      <c r="M55" s="545" t="s">
        <v>267</v>
      </c>
      <c r="N55" s="544">
        <v>5250</v>
      </c>
      <c r="O55" s="545" t="s">
        <v>264</v>
      </c>
      <c r="P55" s="537">
        <v>1575000</v>
      </c>
      <c r="Q55" s="543">
        <v>0</v>
      </c>
      <c r="R55" s="543">
        <v>6810</v>
      </c>
      <c r="S55" s="623">
        <f t="shared" si="1"/>
        <v>1581810</v>
      </c>
      <c r="T55" s="545" t="s">
        <v>115</v>
      </c>
      <c r="U55" s="545" t="s">
        <v>87</v>
      </c>
      <c r="V55" s="545" t="s">
        <v>87</v>
      </c>
      <c r="W55" s="545" t="s">
        <v>87</v>
      </c>
      <c r="X55" s="545" t="s">
        <v>89</v>
      </c>
      <c r="Y55" s="545" t="s">
        <v>190</v>
      </c>
      <c r="Z55" s="545" t="s">
        <v>116</v>
      </c>
      <c r="AA55" s="545" t="s">
        <v>260</v>
      </c>
    </row>
    <row r="56" spans="2:27">
      <c r="B56" s="545" t="s">
        <v>216</v>
      </c>
      <c r="C56" s="545">
        <v>14</v>
      </c>
      <c r="D56" s="545" t="s">
        <v>78</v>
      </c>
      <c r="E56" s="545" t="s">
        <v>268</v>
      </c>
      <c r="F56" s="545" t="s">
        <v>101</v>
      </c>
      <c r="G56" s="545" t="s">
        <v>269</v>
      </c>
      <c r="H56" s="545" t="s">
        <v>219</v>
      </c>
      <c r="I56" s="545"/>
      <c r="J56" s="545" t="s">
        <v>270</v>
      </c>
      <c r="K56" s="545" t="s">
        <v>445</v>
      </c>
      <c r="L56" s="540" t="s">
        <v>750</v>
      </c>
      <c r="M56" s="545" t="s">
        <v>133</v>
      </c>
      <c r="N56" s="544">
        <v>825</v>
      </c>
      <c r="O56" s="545" t="s">
        <v>271</v>
      </c>
      <c r="P56" s="537">
        <v>92812</v>
      </c>
      <c r="Q56" s="543">
        <v>0</v>
      </c>
      <c r="R56" s="543">
        <v>0</v>
      </c>
      <c r="S56" s="623">
        <f t="shared" si="1"/>
        <v>92812</v>
      </c>
      <c r="T56" s="545" t="s">
        <v>272</v>
      </c>
      <c r="U56" s="545" t="s">
        <v>87</v>
      </c>
      <c r="V56" s="545" t="s">
        <v>87</v>
      </c>
      <c r="W56" s="545" t="s">
        <v>87</v>
      </c>
      <c r="X56" s="545" t="s">
        <v>89</v>
      </c>
      <c r="Y56" s="545" t="s">
        <v>90</v>
      </c>
      <c r="Z56" s="545" t="s">
        <v>273</v>
      </c>
      <c r="AA56" s="545" t="s">
        <v>231</v>
      </c>
    </row>
    <row r="57" spans="2:27">
      <c r="B57" s="545" t="s">
        <v>216</v>
      </c>
      <c r="C57" s="545">
        <v>15</v>
      </c>
      <c r="D57" s="545" t="s">
        <v>78</v>
      </c>
      <c r="E57" s="545" t="s">
        <v>274</v>
      </c>
      <c r="F57" s="545" t="s">
        <v>101</v>
      </c>
      <c r="G57" s="545" t="s">
        <v>275</v>
      </c>
      <c r="H57" s="545" t="s">
        <v>276</v>
      </c>
      <c r="I57" s="545"/>
      <c r="J57" s="545" t="s">
        <v>270</v>
      </c>
      <c r="K57" s="545" t="s">
        <v>445</v>
      </c>
      <c r="L57" s="540" t="s">
        <v>750</v>
      </c>
      <c r="M57" s="545" t="s">
        <v>139</v>
      </c>
      <c r="N57" s="544">
        <v>1750</v>
      </c>
      <c r="O57" s="545" t="s">
        <v>140</v>
      </c>
      <c r="P57" s="537">
        <v>196875</v>
      </c>
      <c r="Q57" s="543">
        <v>13227</v>
      </c>
      <c r="R57" s="543">
        <v>560</v>
      </c>
      <c r="S57" s="623">
        <f t="shared" si="1"/>
        <v>210662</v>
      </c>
      <c r="T57" s="545" t="s">
        <v>272</v>
      </c>
      <c r="U57" s="545" t="s">
        <v>87</v>
      </c>
      <c r="V57" s="545" t="s">
        <v>87</v>
      </c>
      <c r="W57" s="545" t="s">
        <v>87</v>
      </c>
      <c r="X57" s="545" t="s">
        <v>89</v>
      </c>
      <c r="Y57" s="545" t="s">
        <v>90</v>
      </c>
      <c r="Z57" s="545" t="s">
        <v>273</v>
      </c>
      <c r="AA57" s="545" t="s">
        <v>135</v>
      </c>
    </row>
    <row r="58" spans="2:27">
      <c r="B58" s="545" t="s">
        <v>216</v>
      </c>
      <c r="C58" s="545">
        <v>16</v>
      </c>
      <c r="D58" s="545" t="s">
        <v>78</v>
      </c>
      <c r="E58" s="545" t="s">
        <v>277</v>
      </c>
      <c r="F58" s="545" t="s">
        <v>101</v>
      </c>
      <c r="G58" s="545" t="s">
        <v>278</v>
      </c>
      <c r="H58" s="545" t="s">
        <v>279</v>
      </c>
      <c r="I58" s="545"/>
      <c r="J58" s="545" t="s">
        <v>270</v>
      </c>
      <c r="K58" s="545" t="s">
        <v>445</v>
      </c>
      <c r="L58" s="540" t="s">
        <v>750</v>
      </c>
      <c r="M58" s="545" t="s">
        <v>280</v>
      </c>
      <c r="N58" s="544">
        <v>7000</v>
      </c>
      <c r="O58" s="545" t="s">
        <v>153</v>
      </c>
      <c r="P58" s="537">
        <v>1050000</v>
      </c>
      <c r="Q58" s="543">
        <v>50986</v>
      </c>
      <c r="R58" s="543">
        <v>32354</v>
      </c>
      <c r="S58" s="623">
        <f t="shared" si="1"/>
        <v>1133340</v>
      </c>
      <c r="T58" s="545" t="s">
        <v>272</v>
      </c>
      <c r="U58" s="545" t="s">
        <v>87</v>
      </c>
      <c r="V58" s="545" t="s">
        <v>87</v>
      </c>
      <c r="W58" s="545" t="s">
        <v>87</v>
      </c>
      <c r="X58" s="545" t="s">
        <v>89</v>
      </c>
      <c r="Y58" s="545" t="s">
        <v>90</v>
      </c>
      <c r="Z58" s="545" t="s">
        <v>273</v>
      </c>
      <c r="AA58" s="545" t="s">
        <v>281</v>
      </c>
    </row>
    <row r="59" spans="2:27">
      <c r="B59" s="545" t="s">
        <v>216</v>
      </c>
      <c r="C59" s="545">
        <v>17</v>
      </c>
      <c r="D59" s="545" t="s">
        <v>78</v>
      </c>
      <c r="E59" s="540" t="s">
        <v>282</v>
      </c>
      <c r="F59" s="540" t="s">
        <v>101</v>
      </c>
      <c r="G59" s="540" t="s">
        <v>283</v>
      </c>
      <c r="H59" s="540" t="s">
        <v>279</v>
      </c>
      <c r="I59" s="545"/>
      <c r="J59" s="540" t="s">
        <v>270</v>
      </c>
      <c r="K59" s="545" t="s">
        <v>445</v>
      </c>
      <c r="L59" s="540" t="s">
        <v>750</v>
      </c>
      <c r="M59" s="540" t="s">
        <v>284</v>
      </c>
      <c r="N59" s="536">
        <v>5250</v>
      </c>
      <c r="O59" s="542" t="s">
        <v>264</v>
      </c>
      <c r="P59" s="539">
        <v>787500</v>
      </c>
      <c r="Q59" s="539">
        <v>27972</v>
      </c>
      <c r="R59" s="541">
        <v>1844</v>
      </c>
      <c r="S59" s="623">
        <f t="shared" si="1"/>
        <v>817316</v>
      </c>
      <c r="T59" s="545" t="s">
        <v>272</v>
      </c>
      <c r="U59" s="545" t="s">
        <v>87</v>
      </c>
      <c r="V59" s="545" t="s">
        <v>87</v>
      </c>
      <c r="W59" s="545" t="s">
        <v>87</v>
      </c>
      <c r="X59" s="545" t="s">
        <v>89</v>
      </c>
      <c r="Y59" s="545" t="s">
        <v>90</v>
      </c>
      <c r="Z59" s="545" t="s">
        <v>273</v>
      </c>
      <c r="AA59" s="545" t="s">
        <v>99</v>
      </c>
    </row>
    <row r="60" spans="2:27">
      <c r="B60" s="545" t="s">
        <v>216</v>
      </c>
      <c r="C60" s="629">
        <v>18</v>
      </c>
      <c r="D60" s="545" t="s">
        <v>107</v>
      </c>
      <c r="E60" s="540" t="s">
        <v>285</v>
      </c>
      <c r="F60" s="540" t="s">
        <v>101</v>
      </c>
      <c r="G60" s="540" t="s">
        <v>286</v>
      </c>
      <c r="H60" s="540" t="s">
        <v>287</v>
      </c>
      <c r="I60" s="545"/>
      <c r="J60" s="540" t="s">
        <v>270</v>
      </c>
      <c r="K60" s="545" t="s">
        <v>445</v>
      </c>
      <c r="L60" s="545" t="s">
        <v>438</v>
      </c>
      <c r="M60" s="540" t="s">
        <v>133</v>
      </c>
      <c r="N60" s="536">
        <v>1750</v>
      </c>
      <c r="O60" s="542" t="s">
        <v>140</v>
      </c>
      <c r="P60" s="539">
        <v>262500</v>
      </c>
      <c r="Q60" s="543">
        <v>0</v>
      </c>
      <c r="R60" s="543">
        <v>0</v>
      </c>
      <c r="S60" s="623">
        <f t="shared" si="1"/>
        <v>262500</v>
      </c>
      <c r="T60" s="545" t="s">
        <v>272</v>
      </c>
      <c r="U60" s="545" t="s">
        <v>87</v>
      </c>
      <c r="V60" s="545" t="s">
        <v>87</v>
      </c>
      <c r="W60" s="545" t="s">
        <v>87</v>
      </c>
      <c r="X60" s="545" t="s">
        <v>89</v>
      </c>
      <c r="Y60" s="545" t="s">
        <v>90</v>
      </c>
      <c r="Z60" s="545" t="s">
        <v>273</v>
      </c>
      <c r="AA60" s="545" t="s">
        <v>122</v>
      </c>
    </row>
    <row r="61" spans="2:27">
      <c r="B61" s="545" t="s">
        <v>216</v>
      </c>
      <c r="C61" s="629">
        <v>19</v>
      </c>
      <c r="D61" s="545" t="s">
        <v>107</v>
      </c>
      <c r="E61" s="540" t="s">
        <v>288</v>
      </c>
      <c r="F61" s="540" t="s">
        <v>101</v>
      </c>
      <c r="G61" s="540" t="s">
        <v>289</v>
      </c>
      <c r="H61" s="540" t="s">
        <v>234</v>
      </c>
      <c r="I61" s="545"/>
      <c r="J61" s="540" t="s">
        <v>270</v>
      </c>
      <c r="K61" s="545" t="s">
        <v>445</v>
      </c>
      <c r="L61" s="545" t="s">
        <v>438</v>
      </c>
      <c r="M61" s="540" t="s">
        <v>267</v>
      </c>
      <c r="N61" s="538">
        <v>1750</v>
      </c>
      <c r="O61" s="540" t="s">
        <v>140</v>
      </c>
      <c r="P61" s="537">
        <v>262500</v>
      </c>
      <c r="Q61" s="543">
        <v>0</v>
      </c>
      <c r="R61" s="543">
        <v>0</v>
      </c>
      <c r="S61" s="623">
        <f t="shared" si="1"/>
        <v>262500</v>
      </c>
      <c r="T61" s="545" t="s">
        <v>272</v>
      </c>
      <c r="U61" s="545" t="s">
        <v>87</v>
      </c>
      <c r="V61" s="545" t="s">
        <v>87</v>
      </c>
      <c r="W61" s="545" t="s">
        <v>87</v>
      </c>
      <c r="X61" s="545" t="s">
        <v>89</v>
      </c>
      <c r="Y61" s="545" t="s">
        <v>90</v>
      </c>
      <c r="Z61" s="545" t="s">
        <v>273</v>
      </c>
      <c r="AA61" s="545" t="s">
        <v>122</v>
      </c>
    </row>
    <row r="62" spans="2:27">
      <c r="B62" s="545" t="s">
        <v>216</v>
      </c>
      <c r="C62" s="629">
        <v>20</v>
      </c>
      <c r="D62" s="545" t="s">
        <v>107</v>
      </c>
      <c r="E62" s="540" t="s">
        <v>290</v>
      </c>
      <c r="F62" s="540" t="s">
        <v>101</v>
      </c>
      <c r="G62" s="540" t="s">
        <v>291</v>
      </c>
      <c r="H62" s="540" t="s">
        <v>234</v>
      </c>
      <c r="I62" s="545"/>
      <c r="J62" s="540" t="s">
        <v>270</v>
      </c>
      <c r="K62" s="545" t="s">
        <v>445</v>
      </c>
      <c r="L62" s="545" t="s">
        <v>438</v>
      </c>
      <c r="M62" s="540" t="s">
        <v>267</v>
      </c>
      <c r="N62" s="536">
        <v>3500</v>
      </c>
      <c r="O62" s="542" t="s">
        <v>144</v>
      </c>
      <c r="P62" s="537">
        <v>525000</v>
      </c>
      <c r="Q62" s="543">
        <v>0</v>
      </c>
      <c r="R62" s="543">
        <v>0</v>
      </c>
      <c r="S62" s="623">
        <f t="shared" si="1"/>
        <v>525000</v>
      </c>
      <c r="T62" s="545" t="s">
        <v>272</v>
      </c>
      <c r="U62" s="545" t="s">
        <v>87</v>
      </c>
      <c r="V62" s="545" t="s">
        <v>87</v>
      </c>
      <c r="W62" s="545" t="s">
        <v>87</v>
      </c>
      <c r="X62" s="545" t="s">
        <v>89</v>
      </c>
      <c r="Y62" s="545" t="s">
        <v>90</v>
      </c>
      <c r="Z62" s="545" t="s">
        <v>273</v>
      </c>
      <c r="AA62" s="545" t="s">
        <v>122</v>
      </c>
    </row>
    <row r="63" spans="2:27">
      <c r="B63" s="545" t="s">
        <v>216</v>
      </c>
      <c r="C63" s="629">
        <v>21</v>
      </c>
      <c r="D63" s="545" t="s">
        <v>107</v>
      </c>
      <c r="E63" s="540" t="s">
        <v>292</v>
      </c>
      <c r="F63" s="540" t="s">
        <v>101</v>
      </c>
      <c r="G63" s="540" t="s">
        <v>293</v>
      </c>
      <c r="H63" s="540" t="s">
        <v>234</v>
      </c>
      <c r="I63" s="545"/>
      <c r="J63" s="540" t="s">
        <v>270</v>
      </c>
      <c r="K63" s="545" t="s">
        <v>445</v>
      </c>
      <c r="L63" s="545" t="s">
        <v>438</v>
      </c>
      <c r="M63" s="540" t="s">
        <v>267</v>
      </c>
      <c r="N63" s="538">
        <v>3500</v>
      </c>
      <c r="O63" s="540" t="s">
        <v>144</v>
      </c>
      <c r="P63" s="539">
        <v>525000</v>
      </c>
      <c r="Q63" s="543">
        <v>0</v>
      </c>
      <c r="R63" s="543">
        <v>0</v>
      </c>
      <c r="S63" s="623">
        <f t="shared" si="1"/>
        <v>525000</v>
      </c>
      <c r="T63" s="545" t="s">
        <v>272</v>
      </c>
      <c r="U63" s="545" t="s">
        <v>87</v>
      </c>
      <c r="V63" s="545" t="s">
        <v>87</v>
      </c>
      <c r="W63" s="545" t="s">
        <v>87</v>
      </c>
      <c r="X63" s="545" t="s">
        <v>89</v>
      </c>
      <c r="Y63" s="545" t="s">
        <v>90</v>
      </c>
      <c r="Z63" s="545" t="s">
        <v>273</v>
      </c>
      <c r="AA63" s="545" t="s">
        <v>122</v>
      </c>
    </row>
    <row r="64" spans="2:27">
      <c r="B64" s="545" t="s">
        <v>216</v>
      </c>
      <c r="C64" s="629">
        <v>22</v>
      </c>
      <c r="D64" s="545" t="s">
        <v>107</v>
      </c>
      <c r="E64" s="540" t="s">
        <v>294</v>
      </c>
      <c r="F64" s="540" t="s">
        <v>101</v>
      </c>
      <c r="G64" s="540" t="s">
        <v>295</v>
      </c>
      <c r="H64" s="540" t="s">
        <v>296</v>
      </c>
      <c r="I64" s="545"/>
      <c r="J64" s="540" t="s">
        <v>270</v>
      </c>
      <c r="K64" s="545" t="s">
        <v>445</v>
      </c>
      <c r="L64" s="545" t="s">
        <v>438</v>
      </c>
      <c r="M64" s="540" t="s">
        <v>267</v>
      </c>
      <c r="N64" s="538">
        <v>1750</v>
      </c>
      <c r="O64" s="540" t="s">
        <v>140</v>
      </c>
      <c r="P64" s="539">
        <v>262500</v>
      </c>
      <c r="Q64" s="543">
        <v>0</v>
      </c>
      <c r="R64" s="543">
        <v>0</v>
      </c>
      <c r="S64" s="623">
        <f t="shared" si="1"/>
        <v>262500</v>
      </c>
      <c r="T64" s="545" t="s">
        <v>272</v>
      </c>
      <c r="U64" s="545" t="s">
        <v>87</v>
      </c>
      <c r="V64" s="545" t="s">
        <v>87</v>
      </c>
      <c r="W64" s="545" t="s">
        <v>87</v>
      </c>
      <c r="X64" s="545" t="s">
        <v>89</v>
      </c>
      <c r="Y64" s="545" t="s">
        <v>90</v>
      </c>
      <c r="Z64" s="545" t="s">
        <v>273</v>
      </c>
      <c r="AA64" s="540" t="s">
        <v>297</v>
      </c>
    </row>
    <row r="65" spans="2:27">
      <c r="B65" s="545" t="s">
        <v>216</v>
      </c>
      <c r="C65" s="629">
        <v>23</v>
      </c>
      <c r="D65" s="545" t="s">
        <v>107</v>
      </c>
      <c r="E65" s="540" t="s">
        <v>298</v>
      </c>
      <c r="F65" s="545" t="s">
        <v>101</v>
      </c>
      <c r="G65" s="540" t="s">
        <v>299</v>
      </c>
      <c r="H65" s="540" t="s">
        <v>296</v>
      </c>
      <c r="I65" s="545"/>
      <c r="J65" s="540" t="s">
        <v>270</v>
      </c>
      <c r="K65" s="545" t="s">
        <v>445</v>
      </c>
      <c r="L65" s="545" t="s">
        <v>438</v>
      </c>
      <c r="M65" s="540" t="s">
        <v>267</v>
      </c>
      <c r="N65" s="538">
        <v>1750</v>
      </c>
      <c r="O65" s="540" t="s">
        <v>140</v>
      </c>
      <c r="P65" s="539">
        <v>262500</v>
      </c>
      <c r="Q65" s="543">
        <v>0</v>
      </c>
      <c r="R65" s="543">
        <v>0</v>
      </c>
      <c r="S65" s="623">
        <f t="shared" si="1"/>
        <v>262500</v>
      </c>
      <c r="T65" s="545" t="s">
        <v>272</v>
      </c>
      <c r="U65" s="545" t="s">
        <v>87</v>
      </c>
      <c r="V65" s="545" t="s">
        <v>87</v>
      </c>
      <c r="W65" s="545" t="s">
        <v>87</v>
      </c>
      <c r="X65" s="545" t="s">
        <v>89</v>
      </c>
      <c r="Y65" s="545" t="s">
        <v>90</v>
      </c>
      <c r="Z65" s="545" t="s">
        <v>87</v>
      </c>
      <c r="AA65" s="540" t="s">
        <v>297</v>
      </c>
    </row>
    <row r="66" spans="2:27">
      <c r="B66" s="545" t="s">
        <v>216</v>
      </c>
      <c r="C66" s="629">
        <v>24</v>
      </c>
      <c r="D66" s="545" t="s">
        <v>107</v>
      </c>
      <c r="E66" s="540" t="s">
        <v>300</v>
      </c>
      <c r="F66" s="540" t="s">
        <v>101</v>
      </c>
      <c r="G66" s="540" t="s">
        <v>301</v>
      </c>
      <c r="H66" s="540" t="s">
        <v>296</v>
      </c>
      <c r="I66" s="545"/>
      <c r="J66" s="540" t="s">
        <v>270</v>
      </c>
      <c r="K66" s="545" t="s">
        <v>445</v>
      </c>
      <c r="L66" s="545" t="s">
        <v>438</v>
      </c>
      <c r="M66" s="540" t="s">
        <v>267</v>
      </c>
      <c r="N66" s="536">
        <v>3500</v>
      </c>
      <c r="O66" s="542" t="s">
        <v>144</v>
      </c>
      <c r="P66" s="539">
        <v>525000</v>
      </c>
      <c r="Q66" s="543">
        <v>0</v>
      </c>
      <c r="R66" s="543">
        <v>0</v>
      </c>
      <c r="S66" s="623">
        <f t="shared" si="1"/>
        <v>525000</v>
      </c>
      <c r="T66" s="545" t="s">
        <v>272</v>
      </c>
      <c r="U66" s="545" t="s">
        <v>87</v>
      </c>
      <c r="V66" s="545" t="s">
        <v>87</v>
      </c>
      <c r="W66" s="545" t="s">
        <v>87</v>
      </c>
      <c r="X66" s="545" t="s">
        <v>89</v>
      </c>
      <c r="Y66" s="545" t="s">
        <v>90</v>
      </c>
      <c r="Z66" s="545" t="s">
        <v>273</v>
      </c>
      <c r="AA66" s="540" t="s">
        <v>297</v>
      </c>
    </row>
    <row r="67" spans="2:27">
      <c r="B67" s="545" t="s">
        <v>216</v>
      </c>
      <c r="C67" s="629">
        <v>25</v>
      </c>
      <c r="D67" s="545" t="s">
        <v>107</v>
      </c>
      <c r="E67" s="540" t="s">
        <v>302</v>
      </c>
      <c r="F67" s="540" t="s">
        <v>101</v>
      </c>
      <c r="G67" s="540" t="s">
        <v>303</v>
      </c>
      <c r="H67" s="540" t="s">
        <v>304</v>
      </c>
      <c r="I67" s="545"/>
      <c r="J67" s="540" t="s">
        <v>270</v>
      </c>
      <c r="K67" s="545" t="s">
        <v>445</v>
      </c>
      <c r="L67" s="545" t="s">
        <v>438</v>
      </c>
      <c r="M67" s="540" t="s">
        <v>113</v>
      </c>
      <c r="N67" s="536">
        <v>7070</v>
      </c>
      <c r="O67" s="542" t="s">
        <v>305</v>
      </c>
      <c r="P67" s="539">
        <v>1060500</v>
      </c>
      <c r="Q67" s="539">
        <v>126876</v>
      </c>
      <c r="R67" s="539">
        <v>52861</v>
      </c>
      <c r="S67" s="623">
        <f t="shared" si="1"/>
        <v>1240237</v>
      </c>
      <c r="T67" s="545" t="s">
        <v>272</v>
      </c>
      <c r="U67" s="545" t="s">
        <v>87</v>
      </c>
      <c r="V67" s="545" t="s">
        <v>87</v>
      </c>
      <c r="W67" s="545" t="s">
        <v>87</v>
      </c>
      <c r="X67" s="545" t="s">
        <v>89</v>
      </c>
      <c r="Y67" s="545" t="s">
        <v>90</v>
      </c>
      <c r="Z67" s="545" t="s">
        <v>273</v>
      </c>
      <c r="AA67" s="540" t="s">
        <v>117</v>
      </c>
    </row>
    <row r="68" spans="2:27">
      <c r="B68" s="545" t="s">
        <v>216</v>
      </c>
      <c r="C68" s="545">
        <v>26</v>
      </c>
      <c r="D68" s="545" t="s">
        <v>78</v>
      </c>
      <c r="E68" s="540" t="s">
        <v>306</v>
      </c>
      <c r="F68" s="540" t="s">
        <v>109</v>
      </c>
      <c r="G68" s="540" t="s">
        <v>307</v>
      </c>
      <c r="H68" s="540" t="s">
        <v>308</v>
      </c>
      <c r="I68" s="545"/>
      <c r="J68" s="540" t="s">
        <v>112</v>
      </c>
      <c r="K68" s="545" t="s">
        <v>445</v>
      </c>
      <c r="L68" s="540" t="s">
        <v>750</v>
      </c>
      <c r="M68" s="540" t="s">
        <v>309</v>
      </c>
      <c r="N68" s="536">
        <v>24808</v>
      </c>
      <c r="O68" s="542" t="s">
        <v>310</v>
      </c>
      <c r="P68" s="537">
        <v>8062600</v>
      </c>
      <c r="Q68" s="541">
        <v>524760</v>
      </c>
      <c r="R68" s="539">
        <v>504763</v>
      </c>
      <c r="S68" s="623">
        <f t="shared" si="1"/>
        <v>9092123</v>
      </c>
      <c r="T68" s="540" t="s">
        <v>115</v>
      </c>
      <c r="U68" s="545" t="s">
        <v>87</v>
      </c>
      <c r="V68" s="545" t="s">
        <v>87</v>
      </c>
      <c r="W68" s="545" t="s">
        <v>88</v>
      </c>
      <c r="X68" s="545" t="s">
        <v>89</v>
      </c>
      <c r="Y68" s="545" t="s">
        <v>90</v>
      </c>
      <c r="Z68" s="540" t="s">
        <v>116</v>
      </c>
      <c r="AA68" s="545" t="s">
        <v>99</v>
      </c>
    </row>
    <row r="69" spans="2:27">
      <c r="B69" s="545" t="s">
        <v>216</v>
      </c>
      <c r="C69" s="545">
        <v>27</v>
      </c>
      <c r="D69" s="545" t="s">
        <v>78</v>
      </c>
      <c r="E69" s="540" t="s">
        <v>311</v>
      </c>
      <c r="F69" s="540" t="s">
        <v>101</v>
      </c>
      <c r="G69" s="540" t="s">
        <v>312</v>
      </c>
      <c r="H69" s="540" t="s">
        <v>308</v>
      </c>
      <c r="I69" s="545"/>
      <c r="J69" s="540" t="s">
        <v>112</v>
      </c>
      <c r="K69" s="545" t="s">
        <v>445</v>
      </c>
      <c r="L69" s="540" t="s">
        <v>750</v>
      </c>
      <c r="M69" s="540" t="s">
        <v>133</v>
      </c>
      <c r="N69" s="538">
        <v>3500</v>
      </c>
      <c r="O69" s="540" t="s">
        <v>144</v>
      </c>
      <c r="P69" s="537">
        <v>1050000</v>
      </c>
      <c r="Q69" s="543">
        <v>0</v>
      </c>
      <c r="R69" s="543">
        <v>0</v>
      </c>
      <c r="S69" s="623">
        <f t="shared" si="1"/>
        <v>1050000</v>
      </c>
      <c r="T69" s="540" t="s">
        <v>115</v>
      </c>
      <c r="U69" s="545" t="s">
        <v>87</v>
      </c>
      <c r="V69" s="545" t="s">
        <v>87</v>
      </c>
      <c r="W69" s="545" t="s">
        <v>88</v>
      </c>
      <c r="X69" s="545" t="s">
        <v>89</v>
      </c>
      <c r="Y69" s="545" t="s">
        <v>90</v>
      </c>
      <c r="Z69" s="540" t="s">
        <v>116</v>
      </c>
      <c r="AA69" s="540" t="s">
        <v>99</v>
      </c>
    </row>
    <row r="70" spans="2:27">
      <c r="B70" s="545" t="s">
        <v>216</v>
      </c>
      <c r="C70" s="545">
        <v>28</v>
      </c>
      <c r="D70" s="545" t="s">
        <v>78</v>
      </c>
      <c r="E70" s="540" t="s">
        <v>313</v>
      </c>
      <c r="F70" s="540" t="s">
        <v>101</v>
      </c>
      <c r="G70" s="540" t="s">
        <v>314</v>
      </c>
      <c r="H70" s="540" t="s">
        <v>308</v>
      </c>
      <c r="I70" s="545"/>
      <c r="J70" s="540" t="s">
        <v>270</v>
      </c>
      <c r="K70" s="545" t="s">
        <v>445</v>
      </c>
      <c r="L70" s="540" t="s">
        <v>750</v>
      </c>
      <c r="M70" s="540" t="s">
        <v>267</v>
      </c>
      <c r="N70" s="536">
        <v>3500</v>
      </c>
      <c r="O70" s="542" t="s">
        <v>144</v>
      </c>
      <c r="P70" s="539">
        <v>525000</v>
      </c>
      <c r="Q70" s="543">
        <v>0</v>
      </c>
      <c r="R70" s="543">
        <v>0</v>
      </c>
      <c r="S70" s="623">
        <f t="shared" si="1"/>
        <v>525000</v>
      </c>
      <c r="T70" s="540" t="s">
        <v>272</v>
      </c>
      <c r="U70" s="545" t="s">
        <v>87</v>
      </c>
      <c r="V70" s="545" t="s">
        <v>87</v>
      </c>
      <c r="W70" s="545" t="s">
        <v>88</v>
      </c>
      <c r="X70" s="545" t="s">
        <v>89</v>
      </c>
      <c r="Y70" s="545" t="s">
        <v>90</v>
      </c>
      <c r="Z70" s="545" t="s">
        <v>273</v>
      </c>
      <c r="AA70" s="545" t="s">
        <v>99</v>
      </c>
    </row>
    <row r="71" spans="2:27">
      <c r="B71" s="545" t="s">
        <v>216</v>
      </c>
      <c r="C71" s="545">
        <v>29</v>
      </c>
      <c r="D71" s="545" t="s">
        <v>78</v>
      </c>
      <c r="E71" s="540" t="s">
        <v>315</v>
      </c>
      <c r="F71" s="540" t="s">
        <v>101</v>
      </c>
      <c r="G71" s="622" t="s">
        <v>316</v>
      </c>
      <c r="H71" s="540" t="s">
        <v>317</v>
      </c>
      <c r="I71" s="545"/>
      <c r="J71" s="540" t="s">
        <v>270</v>
      </c>
      <c r="K71" s="545" t="s">
        <v>445</v>
      </c>
      <c r="L71" s="540" t="s">
        <v>750</v>
      </c>
      <c r="M71" s="540" t="s">
        <v>174</v>
      </c>
      <c r="N71" s="536">
        <v>3500</v>
      </c>
      <c r="O71" s="542" t="s">
        <v>144</v>
      </c>
      <c r="P71" s="539">
        <v>393750</v>
      </c>
      <c r="Q71" s="541">
        <v>77211</v>
      </c>
      <c r="R71" s="543">
        <v>0</v>
      </c>
      <c r="S71" s="623">
        <f t="shared" si="1"/>
        <v>470961</v>
      </c>
      <c r="T71" s="540" t="s">
        <v>272</v>
      </c>
      <c r="U71" s="545" t="s">
        <v>87</v>
      </c>
      <c r="V71" s="545" t="s">
        <v>87</v>
      </c>
      <c r="W71" s="545" t="s">
        <v>88</v>
      </c>
      <c r="X71" s="545" t="s">
        <v>89</v>
      </c>
      <c r="Y71" s="545" t="s">
        <v>90</v>
      </c>
      <c r="Z71" s="545" t="s">
        <v>273</v>
      </c>
      <c r="AA71" s="545" t="s">
        <v>318</v>
      </c>
    </row>
    <row r="72" spans="2:27">
      <c r="B72" s="545" t="s">
        <v>216</v>
      </c>
      <c r="C72" s="545">
        <v>30</v>
      </c>
      <c r="D72" s="545" t="s">
        <v>78</v>
      </c>
      <c r="E72" s="540" t="s">
        <v>319</v>
      </c>
      <c r="F72" s="540" t="s">
        <v>101</v>
      </c>
      <c r="G72" s="540" t="s">
        <v>320</v>
      </c>
      <c r="H72" s="540" t="s">
        <v>276</v>
      </c>
      <c r="I72" s="545"/>
      <c r="J72" s="540" t="s">
        <v>270</v>
      </c>
      <c r="K72" s="545" t="s">
        <v>445</v>
      </c>
      <c r="L72" s="540" t="s">
        <v>750</v>
      </c>
      <c r="M72" s="540" t="s">
        <v>321</v>
      </c>
      <c r="N72" s="538">
        <v>1750</v>
      </c>
      <c r="O72" s="540" t="s">
        <v>140</v>
      </c>
      <c r="P72" s="537">
        <v>196875</v>
      </c>
      <c r="Q72" s="543">
        <v>0</v>
      </c>
      <c r="R72" s="541">
        <v>560</v>
      </c>
      <c r="S72" s="623">
        <f t="shared" si="1"/>
        <v>197435</v>
      </c>
      <c r="T72" s="540" t="s">
        <v>272</v>
      </c>
      <c r="U72" s="545" t="s">
        <v>87</v>
      </c>
      <c r="V72" s="545" t="s">
        <v>87</v>
      </c>
      <c r="W72" s="545" t="s">
        <v>88</v>
      </c>
      <c r="X72" s="545" t="s">
        <v>89</v>
      </c>
      <c r="Y72" s="545" t="s">
        <v>90</v>
      </c>
      <c r="Z72" s="545" t="s">
        <v>273</v>
      </c>
      <c r="AA72" s="545" t="s">
        <v>135</v>
      </c>
    </row>
    <row r="73" spans="2:27">
      <c r="B73" s="545" t="s">
        <v>216</v>
      </c>
      <c r="C73" s="629">
        <v>31</v>
      </c>
      <c r="D73" s="545" t="s">
        <v>107</v>
      </c>
      <c r="E73" s="540" t="s">
        <v>322</v>
      </c>
      <c r="F73" s="540" t="s">
        <v>101</v>
      </c>
      <c r="G73" s="540" t="s">
        <v>323</v>
      </c>
      <c r="H73" s="540" t="s">
        <v>324</v>
      </c>
      <c r="I73" s="545"/>
      <c r="J73" s="540" t="s">
        <v>270</v>
      </c>
      <c r="K73" s="545" t="s">
        <v>445</v>
      </c>
      <c r="L73" s="545" t="s">
        <v>438</v>
      </c>
      <c r="M73" s="540" t="s">
        <v>113</v>
      </c>
      <c r="N73" s="536">
        <v>5250</v>
      </c>
      <c r="O73" s="542" t="s">
        <v>264</v>
      </c>
      <c r="P73" s="539">
        <v>787500</v>
      </c>
      <c r="Q73" s="539">
        <v>42971</v>
      </c>
      <c r="R73" s="541">
        <v>406</v>
      </c>
      <c r="S73" s="623">
        <f t="shared" si="1"/>
        <v>830877</v>
      </c>
      <c r="T73" s="540" t="s">
        <v>272</v>
      </c>
      <c r="U73" s="545" t="s">
        <v>87</v>
      </c>
      <c r="V73" s="545" t="s">
        <v>87</v>
      </c>
      <c r="W73" s="545" t="s">
        <v>88</v>
      </c>
      <c r="X73" s="545" t="s">
        <v>89</v>
      </c>
      <c r="Y73" s="545" t="s">
        <v>90</v>
      </c>
      <c r="Z73" s="545" t="s">
        <v>273</v>
      </c>
      <c r="AA73" s="545" t="s">
        <v>117</v>
      </c>
    </row>
    <row r="74" spans="2:27">
      <c r="B74" s="545" t="s">
        <v>216</v>
      </c>
      <c r="C74" s="629">
        <v>32</v>
      </c>
      <c r="D74" s="545" t="s">
        <v>107</v>
      </c>
      <c r="E74" s="540" t="s">
        <v>325</v>
      </c>
      <c r="F74" s="540" t="s">
        <v>101</v>
      </c>
      <c r="G74" s="540" t="s">
        <v>326</v>
      </c>
      <c r="H74" s="540" t="s">
        <v>324</v>
      </c>
      <c r="I74" s="545"/>
      <c r="J74" s="540" t="s">
        <v>270</v>
      </c>
      <c r="K74" s="545" t="s">
        <v>445</v>
      </c>
      <c r="L74" s="545" t="s">
        <v>438</v>
      </c>
      <c r="M74" s="540" t="s">
        <v>267</v>
      </c>
      <c r="N74" s="538">
        <v>1750</v>
      </c>
      <c r="O74" s="540" t="s">
        <v>140</v>
      </c>
      <c r="P74" s="539">
        <v>262500</v>
      </c>
      <c r="Q74" s="543">
        <v>0</v>
      </c>
      <c r="R74" s="543">
        <v>0</v>
      </c>
      <c r="S74" s="623">
        <f t="shared" si="1"/>
        <v>262500</v>
      </c>
      <c r="T74" s="540" t="s">
        <v>272</v>
      </c>
      <c r="U74" s="545" t="s">
        <v>87</v>
      </c>
      <c r="V74" s="545" t="s">
        <v>87</v>
      </c>
      <c r="W74" s="545" t="s">
        <v>88</v>
      </c>
      <c r="X74" s="545" t="s">
        <v>89</v>
      </c>
      <c r="Y74" s="545" t="s">
        <v>90</v>
      </c>
      <c r="Z74" s="545" t="s">
        <v>273</v>
      </c>
      <c r="AA74" s="540" t="s">
        <v>99</v>
      </c>
    </row>
    <row r="75" spans="2:27">
      <c r="B75" s="545" t="s">
        <v>216</v>
      </c>
      <c r="C75" s="629">
        <v>33</v>
      </c>
      <c r="D75" s="545" t="s">
        <v>107</v>
      </c>
      <c r="E75" s="540" t="s">
        <v>327</v>
      </c>
      <c r="F75" s="540" t="s">
        <v>101</v>
      </c>
      <c r="G75" s="540" t="s">
        <v>328</v>
      </c>
      <c r="H75" s="540" t="s">
        <v>324</v>
      </c>
      <c r="I75" s="545"/>
      <c r="J75" s="540" t="s">
        <v>270</v>
      </c>
      <c r="K75" s="545" t="s">
        <v>445</v>
      </c>
      <c r="L75" s="545" t="s">
        <v>438</v>
      </c>
      <c r="M75" s="540" t="s">
        <v>238</v>
      </c>
      <c r="N75" s="536">
        <v>1750</v>
      </c>
      <c r="O75" s="542" t="s">
        <v>140</v>
      </c>
      <c r="P75" s="539">
        <v>262500</v>
      </c>
      <c r="Q75" s="543">
        <v>0</v>
      </c>
      <c r="R75" s="541">
        <v>1582</v>
      </c>
      <c r="S75" s="623">
        <f t="shared" ref="S75:S93" si="2">SUM(P75:R75)</f>
        <v>264082</v>
      </c>
      <c r="T75" s="540" t="s">
        <v>272</v>
      </c>
      <c r="U75" s="545" t="s">
        <v>87</v>
      </c>
      <c r="V75" s="545" t="s">
        <v>87</v>
      </c>
      <c r="W75" s="545" t="s">
        <v>88</v>
      </c>
      <c r="X75" s="545" t="s">
        <v>89</v>
      </c>
      <c r="Y75" s="545" t="s">
        <v>90</v>
      </c>
      <c r="Z75" s="545" t="s">
        <v>273</v>
      </c>
      <c r="AA75" s="545" t="s">
        <v>99</v>
      </c>
    </row>
    <row r="76" spans="2:27">
      <c r="B76" s="545" t="s">
        <v>216</v>
      </c>
      <c r="C76" s="629">
        <v>34</v>
      </c>
      <c r="D76" s="545" t="s">
        <v>107</v>
      </c>
      <c r="E76" s="540" t="s">
        <v>329</v>
      </c>
      <c r="F76" s="540" t="s">
        <v>101</v>
      </c>
      <c r="G76" s="540" t="s">
        <v>330</v>
      </c>
      <c r="H76" s="540" t="s">
        <v>324</v>
      </c>
      <c r="I76" s="545"/>
      <c r="J76" s="540" t="s">
        <v>270</v>
      </c>
      <c r="K76" s="545" t="s">
        <v>445</v>
      </c>
      <c r="L76" s="545" t="s">
        <v>438</v>
      </c>
      <c r="M76" s="540" t="s">
        <v>238</v>
      </c>
      <c r="N76" s="538">
        <v>3500</v>
      </c>
      <c r="O76" s="540" t="s">
        <v>144</v>
      </c>
      <c r="P76" s="537">
        <v>525000</v>
      </c>
      <c r="Q76" s="543">
        <v>0</v>
      </c>
      <c r="R76" s="541">
        <v>1884</v>
      </c>
      <c r="S76" s="623">
        <f t="shared" si="2"/>
        <v>526884</v>
      </c>
      <c r="T76" s="540" t="s">
        <v>272</v>
      </c>
      <c r="U76" s="545" t="s">
        <v>87</v>
      </c>
      <c r="V76" s="545" t="s">
        <v>87</v>
      </c>
      <c r="W76" s="545" t="s">
        <v>88</v>
      </c>
      <c r="X76" s="545" t="s">
        <v>89</v>
      </c>
      <c r="Y76" s="545" t="s">
        <v>90</v>
      </c>
      <c r="Z76" s="545" t="s">
        <v>273</v>
      </c>
      <c r="AA76" s="545" t="s">
        <v>99</v>
      </c>
    </row>
    <row r="77" spans="2:27">
      <c r="B77" s="545" t="s">
        <v>216</v>
      </c>
      <c r="C77" s="629">
        <v>35</v>
      </c>
      <c r="D77" s="545" t="s">
        <v>107</v>
      </c>
      <c r="E77" s="540" t="s">
        <v>331</v>
      </c>
      <c r="F77" s="540" t="s">
        <v>101</v>
      </c>
      <c r="G77" s="540" t="s">
        <v>332</v>
      </c>
      <c r="H77" s="540" t="s">
        <v>324</v>
      </c>
      <c r="I77" s="545"/>
      <c r="J77" s="540" t="s">
        <v>270</v>
      </c>
      <c r="K77" s="545" t="s">
        <v>445</v>
      </c>
      <c r="L77" s="545" t="s">
        <v>438</v>
      </c>
      <c r="M77" s="540" t="s">
        <v>238</v>
      </c>
      <c r="N77" s="536">
        <v>3500</v>
      </c>
      <c r="O77" s="542" t="s">
        <v>144</v>
      </c>
      <c r="P77" s="537">
        <v>525000</v>
      </c>
      <c r="Q77" s="543">
        <v>0</v>
      </c>
      <c r="R77" s="539">
        <v>4606</v>
      </c>
      <c r="S77" s="623">
        <f t="shared" si="2"/>
        <v>529606</v>
      </c>
      <c r="T77" s="540" t="s">
        <v>272</v>
      </c>
      <c r="U77" s="545" t="s">
        <v>87</v>
      </c>
      <c r="V77" s="545" t="s">
        <v>87</v>
      </c>
      <c r="W77" s="545" t="s">
        <v>88</v>
      </c>
      <c r="X77" s="545" t="s">
        <v>89</v>
      </c>
      <c r="Y77" s="545" t="s">
        <v>90</v>
      </c>
      <c r="Z77" s="545" t="s">
        <v>273</v>
      </c>
      <c r="AA77" s="540" t="s">
        <v>99</v>
      </c>
    </row>
    <row r="78" spans="2:27">
      <c r="B78" s="545" t="s">
        <v>216</v>
      </c>
      <c r="C78" s="629">
        <v>36</v>
      </c>
      <c r="D78" s="545" t="s">
        <v>107</v>
      </c>
      <c r="E78" s="540" t="s">
        <v>333</v>
      </c>
      <c r="F78" s="540" t="s">
        <v>101</v>
      </c>
      <c r="G78" s="540" t="s">
        <v>334</v>
      </c>
      <c r="H78" s="540" t="s">
        <v>324</v>
      </c>
      <c r="I78" s="545"/>
      <c r="J78" s="540" t="s">
        <v>270</v>
      </c>
      <c r="K78" s="545" t="s">
        <v>445</v>
      </c>
      <c r="L78" s="545" t="s">
        <v>438</v>
      </c>
      <c r="M78" s="540" t="s">
        <v>238</v>
      </c>
      <c r="N78" s="536">
        <v>3500</v>
      </c>
      <c r="O78" s="542" t="s">
        <v>144</v>
      </c>
      <c r="P78" s="537">
        <v>525000</v>
      </c>
      <c r="Q78" s="543">
        <v>0</v>
      </c>
      <c r="R78" s="541">
        <v>2888</v>
      </c>
      <c r="S78" s="623">
        <f t="shared" si="2"/>
        <v>527888</v>
      </c>
      <c r="T78" s="540" t="s">
        <v>272</v>
      </c>
      <c r="U78" s="545" t="s">
        <v>87</v>
      </c>
      <c r="V78" s="545" t="s">
        <v>87</v>
      </c>
      <c r="W78" s="545" t="s">
        <v>88</v>
      </c>
      <c r="X78" s="545" t="s">
        <v>89</v>
      </c>
      <c r="Y78" s="545" t="s">
        <v>90</v>
      </c>
      <c r="Z78" s="545" t="s">
        <v>273</v>
      </c>
      <c r="AA78" s="545" t="s">
        <v>99</v>
      </c>
    </row>
    <row r="79" spans="2:27">
      <c r="B79" s="545" t="s">
        <v>216</v>
      </c>
      <c r="C79" s="629">
        <v>37</v>
      </c>
      <c r="D79" s="545" t="s">
        <v>107</v>
      </c>
      <c r="E79" s="540" t="s">
        <v>335</v>
      </c>
      <c r="F79" s="540" t="s">
        <v>101</v>
      </c>
      <c r="G79" s="540" t="s">
        <v>336</v>
      </c>
      <c r="H79" s="540" t="s">
        <v>296</v>
      </c>
      <c r="I79" s="545"/>
      <c r="J79" s="540" t="s">
        <v>270</v>
      </c>
      <c r="K79" s="545" t="s">
        <v>445</v>
      </c>
      <c r="L79" s="545" t="s">
        <v>438</v>
      </c>
      <c r="M79" s="540" t="s">
        <v>309</v>
      </c>
      <c r="N79" s="536">
        <v>10570</v>
      </c>
      <c r="O79" s="542" t="s">
        <v>337</v>
      </c>
      <c r="P79" s="539">
        <v>1585500</v>
      </c>
      <c r="Q79" s="541">
        <v>166126</v>
      </c>
      <c r="R79" s="541">
        <v>14145</v>
      </c>
      <c r="S79" s="623">
        <f t="shared" si="2"/>
        <v>1765771</v>
      </c>
      <c r="T79" s="540" t="s">
        <v>272</v>
      </c>
      <c r="U79" s="545" t="s">
        <v>87</v>
      </c>
      <c r="V79" s="545" t="s">
        <v>87</v>
      </c>
      <c r="W79" s="545" t="s">
        <v>88</v>
      </c>
      <c r="X79" s="545" t="s">
        <v>89</v>
      </c>
      <c r="Y79" s="545" t="s">
        <v>90</v>
      </c>
      <c r="Z79" s="545" t="s">
        <v>273</v>
      </c>
      <c r="AA79" s="545" t="s">
        <v>117</v>
      </c>
    </row>
    <row r="80" spans="2:27" ht="14.55" customHeight="1">
      <c r="B80" s="545" t="s">
        <v>216</v>
      </c>
      <c r="C80" s="545">
        <v>38</v>
      </c>
      <c r="D80" s="545" t="s">
        <v>78</v>
      </c>
      <c r="E80" s="540" t="s">
        <v>338</v>
      </c>
      <c r="F80" s="540" t="s">
        <v>109</v>
      </c>
      <c r="G80" s="540" t="s">
        <v>339</v>
      </c>
      <c r="H80" s="540" t="s">
        <v>340</v>
      </c>
      <c r="I80" s="545"/>
      <c r="J80" s="540" t="s">
        <v>270</v>
      </c>
      <c r="K80" s="545" t="s">
        <v>445</v>
      </c>
      <c r="L80" s="540" t="s">
        <v>750</v>
      </c>
      <c r="M80" s="540" t="s">
        <v>309</v>
      </c>
      <c r="N80" s="538">
        <v>14000</v>
      </c>
      <c r="O80" s="540" t="s">
        <v>150</v>
      </c>
      <c r="P80" s="537">
        <v>2100000</v>
      </c>
      <c r="Q80" s="539">
        <v>115294</v>
      </c>
      <c r="R80" s="541">
        <v>28665</v>
      </c>
      <c r="S80" s="623">
        <f t="shared" si="2"/>
        <v>2243959</v>
      </c>
      <c r="T80" s="540" t="s">
        <v>272</v>
      </c>
      <c r="U80" s="545" t="s">
        <v>87</v>
      </c>
      <c r="V80" s="545" t="s">
        <v>87</v>
      </c>
      <c r="W80" s="545" t="s">
        <v>88</v>
      </c>
      <c r="X80" s="545" t="s">
        <v>89</v>
      </c>
      <c r="Y80" s="545" t="s">
        <v>90</v>
      </c>
      <c r="Z80" s="540" t="s">
        <v>273</v>
      </c>
      <c r="AA80" s="545" t="s">
        <v>99</v>
      </c>
    </row>
    <row r="81" spans="2:27">
      <c r="B81" s="545" t="s">
        <v>216</v>
      </c>
      <c r="C81" s="629">
        <v>39</v>
      </c>
      <c r="D81" s="545" t="s">
        <v>107</v>
      </c>
      <c r="E81" s="540" t="s">
        <v>341</v>
      </c>
      <c r="F81" s="540" t="s">
        <v>109</v>
      </c>
      <c r="G81" s="540" t="s">
        <v>342</v>
      </c>
      <c r="H81" s="540" t="s">
        <v>324</v>
      </c>
      <c r="I81" s="545"/>
      <c r="J81" s="540" t="s">
        <v>270</v>
      </c>
      <c r="K81" s="545" t="s">
        <v>445</v>
      </c>
      <c r="L81" s="545" t="s">
        <v>438</v>
      </c>
      <c r="M81" s="540" t="s">
        <v>267</v>
      </c>
      <c r="N81" s="536">
        <v>7000</v>
      </c>
      <c r="O81" s="542" t="s">
        <v>153</v>
      </c>
      <c r="P81" s="537">
        <v>1050000</v>
      </c>
      <c r="Q81" s="543">
        <v>0</v>
      </c>
      <c r="R81" s="543">
        <v>0</v>
      </c>
      <c r="S81" s="623">
        <f t="shared" si="2"/>
        <v>1050000</v>
      </c>
      <c r="T81" s="540" t="s">
        <v>272</v>
      </c>
      <c r="U81" s="545" t="s">
        <v>87</v>
      </c>
      <c r="V81" s="545" t="s">
        <v>87</v>
      </c>
      <c r="W81" s="545" t="s">
        <v>88</v>
      </c>
      <c r="X81" s="545" t="s">
        <v>89</v>
      </c>
      <c r="Y81" s="545" t="s">
        <v>90</v>
      </c>
      <c r="Z81" s="540" t="s">
        <v>273</v>
      </c>
      <c r="AA81" s="540" t="s">
        <v>99</v>
      </c>
    </row>
    <row r="82" spans="2:27">
      <c r="B82" s="545" t="s">
        <v>216</v>
      </c>
      <c r="C82" s="629">
        <v>40</v>
      </c>
      <c r="D82" s="545" t="s">
        <v>107</v>
      </c>
      <c r="E82" s="540" t="s">
        <v>343</v>
      </c>
      <c r="F82" s="540" t="s">
        <v>109</v>
      </c>
      <c r="G82" s="540" t="s">
        <v>344</v>
      </c>
      <c r="H82" s="540" t="s">
        <v>324</v>
      </c>
      <c r="I82" s="545"/>
      <c r="J82" s="540" t="s">
        <v>270</v>
      </c>
      <c r="K82" s="545" t="s">
        <v>445</v>
      </c>
      <c r="L82" s="545" t="s">
        <v>438</v>
      </c>
      <c r="M82" s="540" t="s">
        <v>345</v>
      </c>
      <c r="N82" s="538">
        <v>35000</v>
      </c>
      <c r="O82" s="540" t="s">
        <v>346</v>
      </c>
      <c r="P82" s="537">
        <v>4987500</v>
      </c>
      <c r="Q82" s="541">
        <v>250459</v>
      </c>
      <c r="R82" s="541">
        <v>62291</v>
      </c>
      <c r="S82" s="623">
        <f t="shared" si="2"/>
        <v>5300250</v>
      </c>
      <c r="T82" s="540" t="s">
        <v>272</v>
      </c>
      <c r="U82" s="545" t="s">
        <v>87</v>
      </c>
      <c r="V82" s="545" t="s">
        <v>87</v>
      </c>
      <c r="W82" s="545" t="s">
        <v>88</v>
      </c>
      <c r="X82" s="545" t="s">
        <v>89</v>
      </c>
      <c r="Y82" s="545" t="s">
        <v>90</v>
      </c>
      <c r="Z82" s="540" t="s">
        <v>273</v>
      </c>
      <c r="AA82" s="545" t="s">
        <v>99</v>
      </c>
    </row>
    <row r="83" spans="2:27">
      <c r="B83" s="545" t="s">
        <v>216</v>
      </c>
      <c r="C83" s="629">
        <v>41</v>
      </c>
      <c r="D83" s="545" t="s">
        <v>107</v>
      </c>
      <c r="E83" s="540" t="s">
        <v>347</v>
      </c>
      <c r="F83" s="540" t="s">
        <v>109</v>
      </c>
      <c r="G83" s="540" t="s">
        <v>348</v>
      </c>
      <c r="H83" s="540" t="s">
        <v>296</v>
      </c>
      <c r="I83" s="545"/>
      <c r="J83" s="540" t="s">
        <v>270</v>
      </c>
      <c r="K83" s="545" t="s">
        <v>445</v>
      </c>
      <c r="L83" s="545" t="s">
        <v>438</v>
      </c>
      <c r="M83" s="540" t="s">
        <v>113</v>
      </c>
      <c r="N83" s="536">
        <v>15750</v>
      </c>
      <c r="O83" s="542" t="s">
        <v>349</v>
      </c>
      <c r="P83" s="539">
        <v>2126250</v>
      </c>
      <c r="Q83" s="539">
        <v>190967</v>
      </c>
      <c r="R83" s="541">
        <v>35914</v>
      </c>
      <c r="S83" s="623">
        <f t="shared" si="2"/>
        <v>2353131</v>
      </c>
      <c r="T83" s="540" t="s">
        <v>272</v>
      </c>
      <c r="U83" s="545" t="s">
        <v>87</v>
      </c>
      <c r="V83" s="545" t="s">
        <v>87</v>
      </c>
      <c r="W83" s="545" t="s">
        <v>88</v>
      </c>
      <c r="X83" s="545" t="s">
        <v>89</v>
      </c>
      <c r="Y83" s="545" t="s">
        <v>90</v>
      </c>
      <c r="Z83" s="540" t="s">
        <v>273</v>
      </c>
      <c r="AA83" s="545" t="s">
        <v>117</v>
      </c>
    </row>
    <row r="84" spans="2:27">
      <c r="B84" s="545" t="s">
        <v>216</v>
      </c>
      <c r="C84" s="629">
        <v>42</v>
      </c>
      <c r="D84" s="545" t="s">
        <v>78</v>
      </c>
      <c r="E84" s="627" t="s">
        <v>350</v>
      </c>
      <c r="F84" s="545" t="s">
        <v>109</v>
      </c>
      <c r="G84" s="545" t="s">
        <v>351</v>
      </c>
      <c r="H84" s="545" t="s">
        <v>352</v>
      </c>
      <c r="I84" s="545"/>
      <c r="J84" s="545" t="s">
        <v>112</v>
      </c>
      <c r="K84" s="545" t="s">
        <v>445</v>
      </c>
      <c r="L84" s="545" t="s">
        <v>438</v>
      </c>
      <c r="M84" s="545" t="s">
        <v>235</v>
      </c>
      <c r="N84" s="544">
        <v>15293</v>
      </c>
      <c r="O84" s="545" t="s">
        <v>353</v>
      </c>
      <c r="P84" s="537">
        <v>4970225</v>
      </c>
      <c r="Q84" s="543">
        <v>602568</v>
      </c>
      <c r="R84" s="543">
        <v>85347</v>
      </c>
      <c r="S84" s="623">
        <f t="shared" si="2"/>
        <v>5658140</v>
      </c>
      <c r="T84" s="545" t="s">
        <v>115</v>
      </c>
      <c r="U84" s="545" t="s">
        <v>87</v>
      </c>
      <c r="V84" s="545" t="s">
        <v>87</v>
      </c>
      <c r="W84" s="545" t="s">
        <v>88</v>
      </c>
      <c r="X84" s="545" t="s">
        <v>89</v>
      </c>
      <c r="Y84" s="545" t="s">
        <v>90</v>
      </c>
      <c r="Z84" s="625" t="s">
        <v>116</v>
      </c>
      <c r="AA84" s="545" t="s">
        <v>99</v>
      </c>
    </row>
    <row r="85" spans="2:27">
      <c r="B85" s="545" t="s">
        <v>216</v>
      </c>
      <c r="C85" s="545">
        <v>43</v>
      </c>
      <c r="D85" s="545" t="s">
        <v>78</v>
      </c>
      <c r="E85" s="627" t="s">
        <v>354</v>
      </c>
      <c r="F85" s="545" t="s">
        <v>109</v>
      </c>
      <c r="G85" s="545" t="s">
        <v>355</v>
      </c>
      <c r="H85" s="545" t="s">
        <v>356</v>
      </c>
      <c r="I85" s="545"/>
      <c r="J85" s="545" t="s">
        <v>270</v>
      </c>
      <c r="K85" s="545" t="s">
        <v>445</v>
      </c>
      <c r="L85" s="545" t="s">
        <v>446</v>
      </c>
      <c r="M85" s="545" t="s">
        <v>113</v>
      </c>
      <c r="N85" s="544">
        <v>28000</v>
      </c>
      <c r="O85" s="545" t="s">
        <v>357</v>
      </c>
      <c r="P85" s="537">
        <v>4200000</v>
      </c>
      <c r="Q85" s="543">
        <v>74970</v>
      </c>
      <c r="R85" s="543">
        <v>12400</v>
      </c>
      <c r="S85" s="623">
        <f t="shared" si="2"/>
        <v>4287370</v>
      </c>
      <c r="T85" s="545" t="s">
        <v>272</v>
      </c>
      <c r="U85" s="545" t="s">
        <v>87</v>
      </c>
      <c r="V85" s="545" t="s">
        <v>87</v>
      </c>
      <c r="W85" s="545" t="s">
        <v>88</v>
      </c>
      <c r="X85" s="545" t="s">
        <v>89</v>
      </c>
      <c r="Y85" s="545" t="s">
        <v>90</v>
      </c>
      <c r="Z85" s="625" t="s">
        <v>273</v>
      </c>
      <c r="AA85" s="545" t="s">
        <v>117</v>
      </c>
    </row>
    <row r="86" spans="2:27">
      <c r="B86" s="545" t="s">
        <v>216</v>
      </c>
      <c r="C86" s="545">
        <v>44</v>
      </c>
      <c r="D86" s="545" t="s">
        <v>78</v>
      </c>
      <c r="E86" s="627" t="s">
        <v>358</v>
      </c>
      <c r="F86" s="545" t="s">
        <v>109</v>
      </c>
      <c r="G86" s="545" t="s">
        <v>359</v>
      </c>
      <c r="H86" s="545" t="s">
        <v>356</v>
      </c>
      <c r="I86" s="545"/>
      <c r="J86" s="545" t="s">
        <v>270</v>
      </c>
      <c r="K86" s="545" t="s">
        <v>445</v>
      </c>
      <c r="L86" s="545" t="s">
        <v>446</v>
      </c>
      <c r="M86" s="545" t="s">
        <v>113</v>
      </c>
      <c r="N86" s="544">
        <v>6985</v>
      </c>
      <c r="O86" s="545" t="s">
        <v>360</v>
      </c>
      <c r="P86" s="537">
        <v>1047750</v>
      </c>
      <c r="Q86" s="543">
        <v>153478</v>
      </c>
      <c r="R86" s="543">
        <v>44065</v>
      </c>
      <c r="S86" s="623">
        <f t="shared" si="2"/>
        <v>1245293</v>
      </c>
      <c r="T86" s="545" t="s">
        <v>272</v>
      </c>
      <c r="U86" s="545" t="s">
        <v>87</v>
      </c>
      <c r="V86" s="545" t="s">
        <v>87</v>
      </c>
      <c r="W86" s="545" t="s">
        <v>88</v>
      </c>
      <c r="X86" s="545" t="s">
        <v>89</v>
      </c>
      <c r="Y86" s="545" t="s">
        <v>90</v>
      </c>
      <c r="Z86" s="625" t="s">
        <v>273</v>
      </c>
      <c r="AA86" s="545" t="s">
        <v>117</v>
      </c>
    </row>
    <row r="87" spans="2:27">
      <c r="B87" s="545" t="s">
        <v>216</v>
      </c>
      <c r="C87" s="629">
        <v>45</v>
      </c>
      <c r="D87" s="545" t="s">
        <v>107</v>
      </c>
      <c r="E87" s="625" t="s">
        <v>361</v>
      </c>
      <c r="F87" s="545" t="s">
        <v>109</v>
      </c>
      <c r="G87" s="545" t="s">
        <v>362</v>
      </c>
      <c r="H87" s="545" t="s">
        <v>363</v>
      </c>
      <c r="I87" s="545"/>
      <c r="J87" s="545" t="s">
        <v>270</v>
      </c>
      <c r="K87" s="545" t="s">
        <v>445</v>
      </c>
      <c r="L87" s="545" t="s">
        <v>438</v>
      </c>
      <c r="M87" s="545" t="s">
        <v>364</v>
      </c>
      <c r="N87" s="544">
        <v>51644</v>
      </c>
      <c r="O87" s="545" t="s">
        <v>365</v>
      </c>
      <c r="P87" s="537">
        <v>7746600</v>
      </c>
      <c r="Q87" s="543">
        <v>1017681</v>
      </c>
      <c r="R87" s="543">
        <v>344660</v>
      </c>
      <c r="S87" s="623">
        <f t="shared" si="2"/>
        <v>9108941</v>
      </c>
      <c r="T87" s="545" t="s">
        <v>272</v>
      </c>
      <c r="U87" s="625" t="s">
        <v>87</v>
      </c>
      <c r="V87" s="625" t="s">
        <v>87</v>
      </c>
      <c r="W87" s="625" t="s">
        <v>88</v>
      </c>
      <c r="X87" s="625" t="s">
        <v>190</v>
      </c>
      <c r="Y87" s="625" t="s">
        <v>90</v>
      </c>
      <c r="Z87" s="545" t="s">
        <v>273</v>
      </c>
      <c r="AA87" s="545" t="s">
        <v>87</v>
      </c>
    </row>
    <row r="88" spans="2:27">
      <c r="B88" s="545" t="s">
        <v>216</v>
      </c>
      <c r="C88" s="629">
        <v>46</v>
      </c>
      <c r="D88" s="545" t="s">
        <v>78</v>
      </c>
      <c r="E88" s="627" t="s">
        <v>366</v>
      </c>
      <c r="F88" s="545" t="s">
        <v>367</v>
      </c>
      <c r="G88" s="545" t="s">
        <v>368</v>
      </c>
      <c r="H88" s="545" t="s">
        <v>352</v>
      </c>
      <c r="I88" s="545"/>
      <c r="J88" s="545" t="s">
        <v>112</v>
      </c>
      <c r="K88" s="545" t="s">
        <v>445</v>
      </c>
      <c r="L88" s="545" t="s">
        <v>438</v>
      </c>
      <c r="M88" s="545" t="s">
        <v>105</v>
      </c>
      <c r="N88" s="544">
        <v>18455</v>
      </c>
      <c r="O88" s="545" t="s">
        <v>369</v>
      </c>
      <c r="P88" s="537">
        <v>5997875</v>
      </c>
      <c r="Q88" s="543">
        <v>191399</v>
      </c>
      <c r="R88" s="543">
        <v>25682</v>
      </c>
      <c r="S88" s="623">
        <f t="shared" si="2"/>
        <v>6214956</v>
      </c>
      <c r="T88" s="545" t="s">
        <v>115</v>
      </c>
      <c r="U88" s="545" t="s">
        <v>87</v>
      </c>
      <c r="V88" s="545" t="s">
        <v>87</v>
      </c>
      <c r="W88" s="545" t="s">
        <v>88</v>
      </c>
      <c r="X88" s="545" t="s">
        <v>89</v>
      </c>
      <c r="Y88" s="545" t="s">
        <v>90</v>
      </c>
      <c r="Z88" s="625" t="s">
        <v>116</v>
      </c>
      <c r="AA88" s="545" t="s">
        <v>99</v>
      </c>
    </row>
    <row r="89" spans="2:27">
      <c r="B89" s="545" t="s">
        <v>216</v>
      </c>
      <c r="C89" s="629">
        <v>47</v>
      </c>
      <c r="D89" s="545" t="s">
        <v>78</v>
      </c>
      <c r="E89" s="627" t="s">
        <v>370</v>
      </c>
      <c r="F89" s="545" t="s">
        <v>367</v>
      </c>
      <c r="G89" s="545" t="s">
        <v>371</v>
      </c>
      <c r="H89" s="545" t="s">
        <v>372</v>
      </c>
      <c r="I89" s="545"/>
      <c r="J89" s="545" t="s">
        <v>112</v>
      </c>
      <c r="K89" s="545" t="s">
        <v>445</v>
      </c>
      <c r="L89" s="545" t="s">
        <v>438</v>
      </c>
      <c r="M89" s="545" t="s">
        <v>373</v>
      </c>
      <c r="N89" s="544">
        <v>7150</v>
      </c>
      <c r="O89" s="545" t="s">
        <v>374</v>
      </c>
      <c r="P89" s="537">
        <v>2145000</v>
      </c>
      <c r="Q89" s="543">
        <v>1890000</v>
      </c>
      <c r="R89" s="543">
        <v>0</v>
      </c>
      <c r="S89" s="623">
        <f t="shared" si="2"/>
        <v>4035000</v>
      </c>
      <c r="T89" s="545" t="s">
        <v>115</v>
      </c>
      <c r="U89" s="545" t="s">
        <v>87</v>
      </c>
      <c r="V89" s="545" t="s">
        <v>87</v>
      </c>
      <c r="W89" s="545" t="s">
        <v>88</v>
      </c>
      <c r="X89" s="545" t="s">
        <v>89</v>
      </c>
      <c r="Y89" s="545" t="s">
        <v>90</v>
      </c>
      <c r="Z89" s="625" t="s">
        <v>116</v>
      </c>
      <c r="AA89" s="545" t="s">
        <v>117</v>
      </c>
    </row>
    <row r="90" spans="2:27">
      <c r="B90" s="545" t="s">
        <v>216</v>
      </c>
      <c r="C90" s="545">
        <v>48</v>
      </c>
      <c r="D90" s="545" t="s">
        <v>78</v>
      </c>
      <c r="E90" s="627" t="s">
        <v>375</v>
      </c>
      <c r="F90" s="545" t="s">
        <v>367</v>
      </c>
      <c r="G90" s="545" t="s">
        <v>376</v>
      </c>
      <c r="H90" s="545" t="s">
        <v>356</v>
      </c>
      <c r="I90" s="545"/>
      <c r="J90" s="545" t="s">
        <v>112</v>
      </c>
      <c r="K90" s="545" t="s">
        <v>445</v>
      </c>
      <c r="L90" s="545" t="s">
        <v>446</v>
      </c>
      <c r="M90" s="545" t="s">
        <v>267</v>
      </c>
      <c r="N90" s="544">
        <v>7135</v>
      </c>
      <c r="O90" s="545" t="s">
        <v>377</v>
      </c>
      <c r="P90" s="537">
        <v>2140500</v>
      </c>
      <c r="Q90" s="543">
        <v>0</v>
      </c>
      <c r="R90" s="543">
        <v>0</v>
      </c>
      <c r="S90" s="623">
        <f t="shared" si="2"/>
        <v>2140500</v>
      </c>
      <c r="T90" s="545" t="s">
        <v>115</v>
      </c>
      <c r="U90" s="545" t="s">
        <v>87</v>
      </c>
      <c r="V90" s="545" t="s">
        <v>87</v>
      </c>
      <c r="W90" s="545" t="s">
        <v>88</v>
      </c>
      <c r="X90" s="545" t="s">
        <v>89</v>
      </c>
      <c r="Y90" s="545" t="s">
        <v>90</v>
      </c>
      <c r="Z90" s="625" t="s">
        <v>116</v>
      </c>
      <c r="AA90" s="545" t="s">
        <v>122</v>
      </c>
    </row>
    <row r="91" spans="2:27">
      <c r="B91" s="545" t="s">
        <v>216</v>
      </c>
      <c r="C91" s="545">
        <v>49</v>
      </c>
      <c r="D91" s="545" t="s">
        <v>78</v>
      </c>
      <c r="E91" s="627" t="s">
        <v>378</v>
      </c>
      <c r="F91" s="545" t="s">
        <v>367</v>
      </c>
      <c r="G91" s="545" t="s">
        <v>379</v>
      </c>
      <c r="H91" s="545" t="s">
        <v>380</v>
      </c>
      <c r="I91" s="545"/>
      <c r="J91" s="545" t="s">
        <v>270</v>
      </c>
      <c r="K91" s="545" t="s">
        <v>445</v>
      </c>
      <c r="L91" s="545" t="s">
        <v>446</v>
      </c>
      <c r="M91" s="545" t="s">
        <v>381</v>
      </c>
      <c r="N91" s="544">
        <v>7135</v>
      </c>
      <c r="O91" s="545" t="s">
        <v>377</v>
      </c>
      <c r="P91" s="537">
        <v>1070250</v>
      </c>
      <c r="Q91" s="543">
        <v>49395</v>
      </c>
      <c r="R91" s="543">
        <v>19155</v>
      </c>
      <c r="S91" s="623">
        <f t="shared" si="2"/>
        <v>1138800</v>
      </c>
      <c r="T91" s="545" t="s">
        <v>272</v>
      </c>
      <c r="U91" s="545" t="s">
        <v>87</v>
      </c>
      <c r="V91" s="545" t="s">
        <v>87</v>
      </c>
      <c r="W91" s="545" t="s">
        <v>88</v>
      </c>
      <c r="X91" s="545" t="s">
        <v>89</v>
      </c>
      <c r="Y91" s="545" t="s">
        <v>90</v>
      </c>
      <c r="Z91" s="625" t="s">
        <v>273</v>
      </c>
      <c r="AA91" s="545" t="s">
        <v>99</v>
      </c>
    </row>
    <row r="92" spans="2:27">
      <c r="B92" s="545" t="s">
        <v>216</v>
      </c>
      <c r="C92" s="545">
        <v>50</v>
      </c>
      <c r="D92" s="545" t="s">
        <v>78</v>
      </c>
      <c r="E92" s="627" t="s">
        <v>382</v>
      </c>
      <c r="F92" s="545" t="s">
        <v>367</v>
      </c>
      <c r="G92" s="545" t="s">
        <v>383</v>
      </c>
      <c r="H92" s="545" t="s">
        <v>384</v>
      </c>
      <c r="I92" s="545"/>
      <c r="J92" s="545" t="s">
        <v>270</v>
      </c>
      <c r="K92" s="545" t="s">
        <v>445</v>
      </c>
      <c r="L92" s="545" t="s">
        <v>446</v>
      </c>
      <c r="M92" s="545" t="s">
        <v>385</v>
      </c>
      <c r="N92" s="544">
        <v>7135</v>
      </c>
      <c r="O92" s="545" t="s">
        <v>377</v>
      </c>
      <c r="P92" s="537">
        <v>1070250</v>
      </c>
      <c r="Q92" s="543">
        <v>127454</v>
      </c>
      <c r="R92" s="543">
        <v>47095</v>
      </c>
      <c r="S92" s="623">
        <f t="shared" si="2"/>
        <v>1244799</v>
      </c>
      <c r="T92" s="545" t="s">
        <v>272</v>
      </c>
      <c r="U92" s="545" t="s">
        <v>87</v>
      </c>
      <c r="V92" s="545" t="s">
        <v>87</v>
      </c>
      <c r="W92" s="545" t="s">
        <v>88</v>
      </c>
      <c r="X92" s="545" t="s">
        <v>89</v>
      </c>
      <c r="Y92" s="545" t="s">
        <v>90</v>
      </c>
      <c r="Z92" s="625" t="s">
        <v>273</v>
      </c>
      <c r="AA92" s="545" t="s">
        <v>99</v>
      </c>
    </row>
    <row r="93" spans="2:27">
      <c r="B93" s="545" t="s">
        <v>216</v>
      </c>
      <c r="C93" s="545">
        <v>51</v>
      </c>
      <c r="D93" s="545" t="s">
        <v>78</v>
      </c>
      <c r="E93" s="627" t="s">
        <v>386</v>
      </c>
      <c r="F93" s="545" t="s">
        <v>367</v>
      </c>
      <c r="G93" s="545" t="s">
        <v>387</v>
      </c>
      <c r="H93" s="545" t="s">
        <v>356</v>
      </c>
      <c r="I93" s="545"/>
      <c r="J93" s="545" t="s">
        <v>270</v>
      </c>
      <c r="K93" s="545" t="s">
        <v>445</v>
      </c>
      <c r="L93" s="545" t="s">
        <v>446</v>
      </c>
      <c r="M93" s="545" t="s">
        <v>267</v>
      </c>
      <c r="N93" s="544">
        <v>14270</v>
      </c>
      <c r="O93" s="545" t="s">
        <v>388</v>
      </c>
      <c r="P93" s="537">
        <v>2140500</v>
      </c>
      <c r="Q93" s="543">
        <v>0</v>
      </c>
      <c r="R93" s="543">
        <v>0</v>
      </c>
      <c r="S93" s="623">
        <f t="shared" si="2"/>
        <v>2140500</v>
      </c>
      <c r="T93" s="545" t="s">
        <v>272</v>
      </c>
      <c r="U93" s="545" t="s">
        <v>87</v>
      </c>
      <c r="V93" s="545" t="s">
        <v>87</v>
      </c>
      <c r="W93" s="545" t="s">
        <v>88</v>
      </c>
      <c r="X93" s="545" t="s">
        <v>89</v>
      </c>
      <c r="Y93" s="545" t="s">
        <v>90</v>
      </c>
      <c r="Z93" s="625" t="s">
        <v>273</v>
      </c>
      <c r="AA93" s="545" t="s">
        <v>99</v>
      </c>
    </row>
    <row r="94" spans="2:27" s="547" customFormat="1" ht="13.8" thickBot="1">
      <c r="B94" s="545"/>
      <c r="C94" s="545"/>
      <c r="D94" s="545"/>
      <c r="E94" s="545"/>
      <c r="F94" s="545"/>
      <c r="G94" s="545"/>
      <c r="H94" s="545"/>
      <c r="I94" s="545"/>
      <c r="J94" s="545"/>
      <c r="K94" s="545"/>
      <c r="L94" s="545"/>
      <c r="M94" s="545"/>
      <c r="N94" s="544"/>
      <c r="O94" s="544"/>
      <c r="P94" s="614"/>
      <c r="Q94" s="544"/>
      <c r="R94" s="544"/>
      <c r="S94" s="615"/>
      <c r="T94" s="545"/>
      <c r="U94" s="545"/>
      <c r="V94" s="545"/>
      <c r="W94" s="545"/>
      <c r="X94" s="545"/>
      <c r="Y94" s="545"/>
      <c r="Z94" s="545"/>
      <c r="AA94" s="545"/>
    </row>
    <row r="96" spans="2:27" s="548" customFormat="1">
      <c r="C96" s="548" t="s">
        <v>20</v>
      </c>
      <c r="N96" s="549">
        <f>SUMIF($K:$K,"Phase I",N:N)</f>
        <v>287620.40000000002</v>
      </c>
      <c r="P96" s="549">
        <f>SUMIF($K:$K,"Phase I",P:P)</f>
        <v>40912070</v>
      </c>
      <c r="Q96" s="549">
        <f>SUMIF($K:$K,"Phase I",Q:Q)</f>
        <v>2750222</v>
      </c>
      <c r="R96" s="549">
        <f>SUMIF($K:$K,"Phase I",R:R)</f>
        <v>967511</v>
      </c>
      <c r="S96" s="549">
        <f>SUMIF($K:$K,"Phase I",S:S)</f>
        <v>44629803</v>
      </c>
    </row>
    <row r="97" spans="3:19" s="546" customFormat="1">
      <c r="C97" s="546" t="s">
        <v>445</v>
      </c>
      <c r="N97" s="550">
        <f>SUMIF($K:$K,"Phase II",N:N)</f>
        <v>451919</v>
      </c>
      <c r="P97" s="550">
        <f>SUMIF($K:$K,"Phase II",P:P)</f>
        <v>96176322</v>
      </c>
      <c r="Q97" s="550">
        <f>SUMIF($K:$K,"Phase II",Q:Q)</f>
        <v>6472955</v>
      </c>
      <c r="R97" s="550">
        <f>SUMIF($K:$K,"Phase II",R:R)</f>
        <v>1398740</v>
      </c>
      <c r="S97" s="550">
        <f>SUMIF($K:$K,"Phase II",S:S)</f>
        <v>104048017</v>
      </c>
    </row>
  </sheetData>
  <autoFilter ref="B10:AA94" xr:uid="{46E209FF-6D4C-4FD4-95B1-AEF2F2350DFC}"/>
  <pageMargins left="0.7" right="0.7" top="0.75" bottom="0.75" header="0.3" footer="0.3"/>
  <pageSetup paperSize="3" scale="57" fitToHeight="0" orientation="landscape" r:id="rId1"/>
  <headerFooter>
    <oddHeader xml:space="preserve">&amp;L2019 ULI Hines Student Competition&amp;RTeam &amp;A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45FAB-C69C-4974-802F-18C538A3A020}">
  <sheetPr>
    <tabColor rgb="FF002060"/>
    <pageSetUpPr fitToPage="1"/>
  </sheetPr>
  <dimension ref="A1:L50"/>
  <sheetViews>
    <sheetView showGridLines="0" view="pageBreakPreview" zoomScale="80" zoomScaleNormal="100" zoomScaleSheetLayoutView="80" workbookViewId="0"/>
  </sheetViews>
  <sheetFormatPr defaultRowHeight="13.2"/>
  <cols>
    <col min="1" max="1" width="1.77734375" customWidth="1"/>
    <col min="2" max="2" width="14.6640625" bestFit="1" customWidth="1"/>
    <col min="3" max="3" width="16.109375" style="4" customWidth="1"/>
    <col min="4" max="4" width="11.44140625" bestFit="1" customWidth="1"/>
    <col min="5" max="5" width="6.44140625" customWidth="1"/>
    <col min="6" max="6" width="27.6640625" bestFit="1" customWidth="1"/>
    <col min="7" max="7" width="16" style="4" bestFit="1" customWidth="1"/>
    <col min="8" max="8" width="16.5546875" bestFit="1" customWidth="1"/>
    <col min="9" max="9" width="14.44140625" style="4" bestFit="1" customWidth="1"/>
    <col min="10" max="10" width="14.33203125" bestFit="1" customWidth="1"/>
    <col min="11" max="11" width="15.5546875" bestFit="1" customWidth="1"/>
    <col min="12" max="12" width="14.33203125" bestFit="1" customWidth="1"/>
    <col min="13" max="13" width="15.5546875" bestFit="1" customWidth="1"/>
    <col min="14" max="14" width="14.21875" bestFit="1" customWidth="1"/>
  </cols>
  <sheetData>
    <row r="1" spans="1:9">
      <c r="A1" s="1"/>
    </row>
    <row r="2" spans="1:9">
      <c r="A2" s="1"/>
    </row>
    <row r="3" spans="1:9">
      <c r="A3" s="1"/>
    </row>
    <row r="4" spans="1:9">
      <c r="A4" s="1"/>
    </row>
    <row r="5" spans="1:9">
      <c r="A5" s="1"/>
    </row>
    <row r="6" spans="1:9">
      <c r="A6" s="1"/>
    </row>
    <row r="7" spans="1:9">
      <c r="A7" s="1"/>
    </row>
    <row r="8" spans="1:9">
      <c r="A8" s="1"/>
      <c r="B8" s="445" t="s">
        <v>762</v>
      </c>
    </row>
    <row r="9" spans="1:9">
      <c r="A9" s="1"/>
    </row>
    <row r="10" spans="1:9" ht="17.399999999999999">
      <c r="B10" s="194" t="s">
        <v>637</v>
      </c>
      <c r="C10" s="195"/>
      <c r="D10" s="196"/>
      <c r="E10" s="196"/>
      <c r="F10" s="196"/>
      <c r="G10" s="195"/>
      <c r="H10" s="196"/>
      <c r="I10" s="195"/>
    </row>
    <row r="11" spans="1:9">
      <c r="B11" s="1"/>
    </row>
    <row r="12" spans="1:9" ht="14.4">
      <c r="B12" s="11" t="s">
        <v>456</v>
      </c>
      <c r="C12" s="12"/>
      <c r="D12" s="39" t="s">
        <v>442</v>
      </c>
      <c r="F12" s="11" t="s">
        <v>457</v>
      </c>
      <c r="G12" s="52"/>
      <c r="H12" s="12"/>
      <c r="I12" s="52"/>
    </row>
    <row r="13" spans="1:9" ht="14.4">
      <c r="B13" t="s">
        <v>399</v>
      </c>
      <c r="D13" s="50">
        <f>Parcels!N96</f>
        <v>287620.40000000002</v>
      </c>
      <c r="F13" s="44" t="s">
        <v>449</v>
      </c>
      <c r="G13" s="45" t="s">
        <v>32</v>
      </c>
      <c r="H13" s="45" t="s">
        <v>450</v>
      </c>
      <c r="I13" s="45" t="s">
        <v>451</v>
      </c>
    </row>
    <row r="14" spans="1:9">
      <c r="B14" t="s">
        <v>400</v>
      </c>
      <c r="D14" s="61" t="s">
        <v>789</v>
      </c>
      <c r="F14" t="s">
        <v>452</v>
      </c>
      <c r="G14" s="51">
        <f>Parcels!S96</f>
        <v>44629803</v>
      </c>
      <c r="H14" s="46">
        <f t="shared" ref="H14:H19" ca="1" si="0">G14/$G$20</f>
        <v>0.1580722802508672</v>
      </c>
      <c r="I14" s="47">
        <f t="shared" ref="I14:I19" si="1">G14/$D$16</f>
        <v>39.786952631903823</v>
      </c>
    </row>
    <row r="15" spans="1:9">
      <c r="B15" t="s">
        <v>401</v>
      </c>
      <c r="D15" s="569">
        <v>3.9</v>
      </c>
      <c r="F15" t="s">
        <v>395</v>
      </c>
      <c r="G15" s="51">
        <f ca="1">'Area Matrix'!D39</f>
        <v>165095405.8116</v>
      </c>
      <c r="H15" s="46">
        <f t="shared" ca="1" si="0"/>
        <v>0.58474394914048544</v>
      </c>
      <c r="I15" s="47">
        <f t="shared" ca="1" si="1"/>
        <v>147.18064273712048</v>
      </c>
    </row>
    <row r="16" spans="1:9">
      <c r="B16" t="s">
        <v>402</v>
      </c>
      <c r="D16" s="33">
        <f>D13*D15</f>
        <v>1121719.56</v>
      </c>
      <c r="F16" t="s">
        <v>410</v>
      </c>
      <c r="G16" s="51">
        <f ca="1">'Area Matrix'!H39</f>
        <v>24764310.871740002</v>
      </c>
      <c r="H16" s="46">
        <f t="shared" ca="1" si="0"/>
        <v>8.771159237107283E-2</v>
      </c>
      <c r="I16" s="47">
        <f t="shared" ca="1" si="1"/>
        <v>22.077096410568075</v>
      </c>
    </row>
    <row r="17" spans="2:12">
      <c r="F17" s="1" t="s">
        <v>9</v>
      </c>
      <c r="G17" s="51">
        <f ca="1">'Phase I - Pro Forma'!D21</f>
        <v>14954286</v>
      </c>
      <c r="H17" s="46">
        <f t="shared" ca="1" si="0"/>
        <v>5.2965909070753013E-2</v>
      </c>
      <c r="I17" s="47">
        <f t="shared" ca="1" si="1"/>
        <v>13.331572821998396</v>
      </c>
    </row>
    <row r="18" spans="2:12" ht="14.4">
      <c r="F18" t="s">
        <v>426</v>
      </c>
      <c r="G18" s="197">
        <f ca="1">'Phase I - Pro Forma'!D60</f>
        <v>1835196.6520607492</v>
      </c>
      <c r="H18" s="46">
        <f t="shared" ca="1" si="0"/>
        <v>6.4999999999999997E-3</v>
      </c>
      <c r="I18" s="47">
        <f t="shared" ca="1" si="1"/>
        <v>1.6360565666348452</v>
      </c>
      <c r="L18" s="35"/>
    </row>
    <row r="19" spans="2:12" ht="14.4">
      <c r="B19" s="11" t="s">
        <v>447</v>
      </c>
      <c r="C19" s="12"/>
      <c r="D19" s="12"/>
      <c r="F19" t="s">
        <v>398</v>
      </c>
      <c r="G19" s="197">
        <f ca="1">'Phase I - Pro Forma'!D62</f>
        <v>31058944.135483749</v>
      </c>
      <c r="H19" s="46">
        <f t="shared" ca="1" si="0"/>
        <v>0.11000626916682146</v>
      </c>
      <c r="I19" s="47">
        <f t="shared" ca="1" si="1"/>
        <v>27.688689083289006</v>
      </c>
      <c r="L19" s="35"/>
    </row>
    <row r="20" spans="2:12" ht="14.4">
      <c r="B20" s="1" t="s">
        <v>392</v>
      </c>
      <c r="D20" s="192">
        <v>2020</v>
      </c>
      <c r="F20" s="9" t="s">
        <v>453</v>
      </c>
      <c r="G20" s="48">
        <f ca="1">SUM(G14:G19)</f>
        <v>282337946.4708845</v>
      </c>
      <c r="H20" s="256">
        <f ca="1">SUM(H14:H19)</f>
        <v>0.99999999999999989</v>
      </c>
      <c r="I20" s="49"/>
      <c r="L20" s="36"/>
    </row>
    <row r="21" spans="2:12" ht="14.4">
      <c r="B21" s="1" t="s">
        <v>448</v>
      </c>
      <c r="C21"/>
      <c r="D21" s="192">
        <v>2022</v>
      </c>
      <c r="L21" s="37"/>
    </row>
    <row r="22" spans="2:12" ht="14.4">
      <c r="B22" s="1" t="s">
        <v>632</v>
      </c>
      <c r="C22"/>
      <c r="D22" s="41">
        <v>3</v>
      </c>
      <c r="F22" s="11" t="s">
        <v>454</v>
      </c>
      <c r="G22" s="52"/>
      <c r="H22" s="12"/>
      <c r="I22" s="52"/>
      <c r="L22" s="38"/>
    </row>
    <row r="23" spans="2:12" ht="14.4">
      <c r="B23" t="s">
        <v>403</v>
      </c>
      <c r="C23"/>
      <c r="D23" s="191">
        <f>SUM(D21:D22)</f>
        <v>2025</v>
      </c>
      <c r="F23" s="1" t="s">
        <v>28</v>
      </c>
      <c r="G23" s="51">
        <f ca="1">G20-SUM(G24:G28)</f>
        <v>54797359.843583971</v>
      </c>
      <c r="H23" s="46">
        <f t="shared" ref="H23:H28" ca="1" si="2">G23/$G$29</f>
        <v>0.19408428986797505</v>
      </c>
      <c r="K23">
        <v>75985169.34627676</v>
      </c>
      <c r="L23" s="38"/>
    </row>
    <row r="24" spans="2:12" ht="14.4">
      <c r="B24" s="1" t="s">
        <v>436</v>
      </c>
      <c r="C24"/>
      <c r="D24" s="191">
        <f>D23</f>
        <v>2025</v>
      </c>
      <c r="F24" s="209" t="s">
        <v>673</v>
      </c>
      <c r="G24" s="197">
        <f ca="1">G16</f>
        <v>24764310.871740002</v>
      </c>
      <c r="H24" s="46">
        <f t="shared" ca="1" si="2"/>
        <v>8.771159237107283E-2</v>
      </c>
      <c r="I24" s="215"/>
      <c r="L24" s="38"/>
    </row>
    <row r="25" spans="2:12" ht="14.4">
      <c r="B25" s="1" t="s">
        <v>679</v>
      </c>
      <c r="C25"/>
      <c r="D25" s="41">
        <v>1</v>
      </c>
      <c r="F25" s="1" t="s">
        <v>652</v>
      </c>
      <c r="G25" s="51">
        <f ca="1">'Phase I - CF Affordable Rental'!R24</f>
        <v>4242491.5980862742</v>
      </c>
      <c r="H25" s="46">
        <f t="shared" ca="1" si="2"/>
        <v>1.502628906640352E-2</v>
      </c>
    </row>
    <row r="26" spans="2:12" s="178" customFormat="1">
      <c r="B26" t="s">
        <v>404</v>
      </c>
      <c r="C26"/>
      <c r="D26" s="191">
        <f>SUM(D24:D25)</f>
        <v>2026</v>
      </c>
      <c r="F26" s="1" t="s">
        <v>727</v>
      </c>
      <c r="G26" s="51">
        <f ca="1">Taxes!N56</f>
        <v>3514118.9513993259</v>
      </c>
      <c r="H26" s="46">
        <f t="shared" ca="1" si="2"/>
        <v>1.2446498939743872E-2</v>
      </c>
      <c r="I26" s="4"/>
      <c r="J26"/>
      <c r="K26"/>
    </row>
    <row r="27" spans="2:12" ht="14.4">
      <c r="B27" s="209" t="s">
        <v>678</v>
      </c>
      <c r="C27" s="178"/>
      <c r="D27" s="41">
        <v>5</v>
      </c>
      <c r="F27" s="209" t="s">
        <v>730</v>
      </c>
      <c r="G27" s="441">
        <f>'Phase II - Summary'!G26</f>
        <v>11500000</v>
      </c>
      <c r="H27" s="433">
        <f t="shared" ca="1" si="2"/>
        <v>4.0731329754804722E-2</v>
      </c>
      <c r="I27" s="215"/>
      <c r="J27" s="178"/>
      <c r="K27" s="178"/>
    </row>
    <row r="28" spans="2:12" ht="13.8" thickBot="1">
      <c r="B28" s="209" t="s">
        <v>636</v>
      </c>
      <c r="D28" s="191">
        <f>D26+D27</f>
        <v>2031</v>
      </c>
      <c r="F28" s="1" t="s">
        <v>424</v>
      </c>
      <c r="G28" s="47">
        <f ca="1">I36</f>
        <v>183519665.20607492</v>
      </c>
      <c r="H28" s="46">
        <f t="shared" ca="1" si="2"/>
        <v>0.65</v>
      </c>
    </row>
    <row r="29" spans="2:12" ht="15" thickBot="1">
      <c r="B29" t="s">
        <v>390</v>
      </c>
      <c r="C29"/>
      <c r="D29" s="570">
        <v>5.6000000000000001E-2</v>
      </c>
      <c r="F29" s="9" t="s">
        <v>458</v>
      </c>
      <c r="G29" s="253">
        <f ca="1">SUM(G23:G28)</f>
        <v>282337946.4708845</v>
      </c>
      <c r="H29" s="257">
        <f ca="1">SUM(H23:H28)</f>
        <v>1</v>
      </c>
      <c r="I29" s="53"/>
      <c r="J29" s="61" t="s">
        <v>634</v>
      </c>
      <c r="K29" s="218">
        <f ca="1">SUM(G23:G28)-G20</f>
        <v>0</v>
      </c>
    </row>
    <row r="30" spans="2:12" ht="14.4">
      <c r="B30" t="s">
        <v>405</v>
      </c>
      <c r="C30"/>
      <c r="D30" s="40">
        <v>0.01</v>
      </c>
    </row>
    <row r="31" spans="2:12" ht="14.4">
      <c r="B31" s="15" t="s">
        <v>406</v>
      </c>
      <c r="C31" s="16"/>
      <c r="D31" s="17">
        <v>10</v>
      </c>
      <c r="F31" s="11" t="s">
        <v>459</v>
      </c>
      <c r="G31" s="52"/>
      <c r="H31" s="12"/>
      <c r="I31" s="52"/>
    </row>
    <row r="32" spans="2:12">
      <c r="F32" s="1" t="s">
        <v>424</v>
      </c>
    </row>
    <row r="33" spans="6:10">
      <c r="F33" s="42"/>
      <c r="G33" s="54" t="s">
        <v>463</v>
      </c>
      <c r="H33" s="54" t="s">
        <v>464</v>
      </c>
      <c r="I33" s="54" t="s">
        <v>465</v>
      </c>
    </row>
    <row r="34" spans="6:10">
      <c r="F34" s="1" t="s">
        <v>460</v>
      </c>
      <c r="G34" s="3">
        <v>0.02</v>
      </c>
      <c r="H34" s="56">
        <v>350</v>
      </c>
      <c r="I34" s="258">
        <f>G34+(H34/10000)</f>
        <v>5.5000000000000007E-2</v>
      </c>
    </row>
    <row r="35" spans="6:10">
      <c r="F35" s="1" t="s">
        <v>461</v>
      </c>
      <c r="H35" s="4"/>
      <c r="I35" s="3">
        <v>0.65</v>
      </c>
    </row>
    <row r="36" spans="6:10">
      <c r="F36" s="1" t="s">
        <v>462</v>
      </c>
      <c r="H36" s="4"/>
      <c r="I36" s="47">
        <f ca="1">I35*G20</f>
        <v>183519665.20607492</v>
      </c>
    </row>
    <row r="37" spans="6:10">
      <c r="F37" s="1" t="s">
        <v>426</v>
      </c>
      <c r="H37" s="4"/>
      <c r="I37" s="3">
        <v>0.01</v>
      </c>
    </row>
    <row r="39" spans="6:10" ht="14.4">
      <c r="F39" s="11" t="s">
        <v>466</v>
      </c>
      <c r="G39" s="52"/>
      <c r="H39" s="12"/>
      <c r="I39" s="52"/>
    </row>
    <row r="40" spans="6:10">
      <c r="F40" s="42"/>
      <c r="G40" s="54" t="s">
        <v>463</v>
      </c>
      <c r="H40" s="54" t="s">
        <v>464</v>
      </c>
      <c r="I40" s="54" t="s">
        <v>465</v>
      </c>
    </row>
    <row r="41" spans="6:10">
      <c r="F41" t="s">
        <v>460</v>
      </c>
      <c r="G41" s="3">
        <v>0.02</v>
      </c>
      <c r="H41" s="56">
        <v>250</v>
      </c>
      <c r="I41" s="258">
        <f>G41+(H41/10000)</f>
        <v>4.4999999999999998E-2</v>
      </c>
    </row>
    <row r="42" spans="6:10">
      <c r="F42" t="s">
        <v>467</v>
      </c>
      <c r="H42" s="4"/>
      <c r="I42" s="3">
        <v>0.7</v>
      </c>
    </row>
    <row r="43" spans="6:10">
      <c r="F43" t="s">
        <v>468</v>
      </c>
      <c r="H43" s="4"/>
      <c r="I43" s="259">
        <v>4.4999999999999998E-2</v>
      </c>
      <c r="J43" s="1"/>
    </row>
    <row r="44" spans="6:10">
      <c r="F44" s="1" t="s">
        <v>391</v>
      </c>
      <c r="H44" s="57"/>
      <c r="I44" s="56">
        <v>10</v>
      </c>
    </row>
    <row r="45" spans="6:10">
      <c r="F45" s="1" t="s">
        <v>676</v>
      </c>
      <c r="H45" s="4"/>
      <c r="I45" s="260">
        <f>D28</f>
        <v>2031</v>
      </c>
    </row>
    <row r="46" spans="6:10">
      <c r="F46" s="1" t="s">
        <v>675</v>
      </c>
      <c r="H46" s="4"/>
      <c r="I46" s="260">
        <f>I45</f>
        <v>2031</v>
      </c>
    </row>
    <row r="47" spans="6:10">
      <c r="F47" s="1" t="s">
        <v>635</v>
      </c>
      <c r="H47" s="4"/>
      <c r="I47" s="261">
        <f ca="1">OFFSET('Phase I - Pro Forma'!$E$40,0,MATCH('Phase I - Summary'!I45,'Phase I - Pro Forma'!F13:AJ13,0),)</f>
        <v>22262571.993627697</v>
      </c>
    </row>
    <row r="48" spans="6:10">
      <c r="F48" t="s">
        <v>469</v>
      </c>
      <c r="H48" s="4"/>
      <c r="I48" s="261">
        <f ca="1">I47/I43</f>
        <v>494723822.08061552</v>
      </c>
    </row>
    <row r="49" spans="6:9">
      <c r="F49" t="s">
        <v>470</v>
      </c>
      <c r="H49" s="4"/>
      <c r="I49" s="261">
        <f ca="1">I48*I42</f>
        <v>346306675.45643085</v>
      </c>
    </row>
    <row r="50" spans="6:9">
      <c r="F50" t="s">
        <v>426</v>
      </c>
      <c r="H50" s="4"/>
      <c r="I50" s="3">
        <v>0.01</v>
      </c>
    </row>
  </sheetData>
  <pageMargins left="0.7" right="0.7" top="0.75" bottom="0.75" header="0.3" footer="0.3"/>
  <pageSetup scale="74" fitToHeight="0" orientation="portrait" r:id="rId1"/>
  <headerFooter>
    <oddHeader xml:space="preserve">&amp;L2019 ULI Hines Student Competition&amp;R2019-331 &amp;A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21</vt:i4>
      </vt:variant>
    </vt:vector>
  </HeadingPairs>
  <TitlesOfParts>
    <vt:vector size="43" baseType="lpstr">
      <vt:lpstr>Building Source Data</vt:lpstr>
      <vt:lpstr>Official Summary Board</vt:lpstr>
      <vt:lpstr>Development Summary</vt:lpstr>
      <vt:lpstr>Building Summary</vt:lpstr>
      <vt:lpstr>Infrastructure Budget</vt:lpstr>
      <vt:lpstr>Area Matrix</vt:lpstr>
      <vt:lpstr>Taxes</vt:lpstr>
      <vt:lpstr>Parcels</vt:lpstr>
      <vt:lpstr>Phase I - Summary</vt:lpstr>
      <vt:lpstr>Phase I - Pro Forma</vt:lpstr>
      <vt:lpstr>Phase I - CF MF Market Rental</vt:lpstr>
      <vt:lpstr>Phase I - CF Affordable Rental</vt:lpstr>
      <vt:lpstr>Phase I - CF Commercial</vt:lpstr>
      <vt:lpstr>Phase I - CF Hotel</vt:lpstr>
      <vt:lpstr>Phase I - CF Retail</vt:lpstr>
      <vt:lpstr>Phase II - Summary</vt:lpstr>
      <vt:lpstr>Phase II - Pro Forma</vt:lpstr>
      <vt:lpstr>Phase II - CF MF Market Rental</vt:lpstr>
      <vt:lpstr>Phase II - CF Affordable Rental</vt:lpstr>
      <vt:lpstr>Phase II - CF Commercial</vt:lpstr>
      <vt:lpstr>Phase II - CF Hotel</vt:lpstr>
      <vt:lpstr>Phase II - CF Retail</vt:lpstr>
      <vt:lpstr>'Area Matrix'!Print_Area</vt:lpstr>
      <vt:lpstr>'Building Summary'!Print_Area</vt:lpstr>
      <vt:lpstr>'Development Summary'!Print_Area</vt:lpstr>
      <vt:lpstr>'Infrastructure Budget'!Print_Area</vt:lpstr>
      <vt:lpstr>'Official Summary Board'!Print_Area</vt:lpstr>
      <vt:lpstr>Parcels!Print_Area</vt:lpstr>
      <vt:lpstr>'Phase I - CF Affordable Rental'!Print_Area</vt:lpstr>
      <vt:lpstr>'Phase I - CF Commercial'!Print_Area</vt:lpstr>
      <vt:lpstr>'Phase I - CF Hotel'!Print_Area</vt:lpstr>
      <vt:lpstr>'Phase I - CF MF Market Rental'!Print_Area</vt:lpstr>
      <vt:lpstr>'Phase I - CF Retail'!Print_Area</vt:lpstr>
      <vt:lpstr>'Phase I - Pro Forma'!Print_Area</vt:lpstr>
      <vt:lpstr>'Phase I - Summary'!Print_Area</vt:lpstr>
      <vt:lpstr>'Phase II - CF Affordable Rental'!Print_Area</vt:lpstr>
      <vt:lpstr>'Phase II - CF Commercial'!Print_Area</vt:lpstr>
      <vt:lpstr>'Phase II - CF Hotel'!Print_Area</vt:lpstr>
      <vt:lpstr>'Phase II - CF MF Market Rental'!Print_Area</vt:lpstr>
      <vt:lpstr>'Phase II - CF Retail'!Print_Area</vt:lpstr>
      <vt:lpstr>'Phase II - Pro Forma'!Print_Area</vt:lpstr>
      <vt:lpstr>'Phase II - Summary'!Print_Area</vt:lpstr>
      <vt:lpstr>Taxes!Print_Area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 Finkenbinder-Best</dc:creator>
  <cp:lastModifiedBy>Jonathan Hong</cp:lastModifiedBy>
  <cp:lastPrinted>2020-01-27T06:13:43Z</cp:lastPrinted>
  <dcterms:created xsi:type="dcterms:W3CDTF">2007-12-12T14:49:40Z</dcterms:created>
  <dcterms:modified xsi:type="dcterms:W3CDTF">2020-01-28T02:36:07Z</dcterms:modified>
</cp:coreProperties>
</file>