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76" yWindow="1050" windowWidth="22860" windowHeight="10800" activeTab="0"/>
  </bookViews>
  <sheets>
    <sheet name="LANDEV" sheetId="1" r:id="rId1"/>
    <sheet name="do not use" sheetId="2" r:id="rId2"/>
  </sheets>
  <definedNames>
    <definedName name="\c">'LANDEV'!$L$256</definedName>
    <definedName name="\e">'LANDEV'!$J$256</definedName>
    <definedName name="\g">'LANDEV'!$I$256</definedName>
    <definedName name="\i">'LANDEV'!$AM$136:$AM$136</definedName>
    <definedName name="\n">'LANDEV'!$F$256</definedName>
    <definedName name="\p">'LANDEV'!$B$257</definedName>
    <definedName name="\q">'LANDEV'!$B$257</definedName>
    <definedName name="\t">'LANDEV'!$AO$152</definedName>
    <definedName name="\w">'LANDEV'!$N$2:$AN$154</definedName>
    <definedName name="__123Graph_A" hidden="1">'LANDEV'!$F$219:$N$219</definedName>
    <definedName name="__123Graph_B" hidden="1">'LANDEV'!$F$218:$K$218</definedName>
    <definedName name="__123Graph_X" hidden="1">'LANDEV'!$F$190:$T$190</definedName>
    <definedName name="_Fill" hidden="1">'LANDEV'!#REF!</definedName>
    <definedName name="_Regression_Int" localSheetId="0" hidden="1">1</definedName>
    <definedName name="_Table1_In1" hidden="1">'LANDEV'!$E$253</definedName>
    <definedName name="CNAME1">'LANDEV'!$B$138</definedName>
    <definedName name="CNAMES">'LANDEV'!$B$67:$B$83</definedName>
    <definedName name="COSTCOP1">'LANDEV'!$B$138</definedName>
    <definedName name="COSTNAME">'LANDEV'!$B$67:$B$79</definedName>
    <definedName name="ERAS1">'LANDEV'!$F$47:$T$50</definedName>
    <definedName name="ERAS2">'LANDEV'!$D$55:$E$58</definedName>
    <definedName name="ERAS3">'LANDEV'!$F$55:$F$58</definedName>
    <definedName name="ERAS4">'LANDEV'!$D$67:$D$83</definedName>
    <definedName name="ERAS5">'LANDEV'!$F$67:$T$83</definedName>
    <definedName name="ERAS6">'LANDEV'!$F$161:$N$161</definedName>
    <definedName name="INVESTOR">'LANDEV'!$B$225:$N$252</definedName>
    <definedName name="LOOP">'LANDEV'!$AN$165</definedName>
    <definedName name="PAGE1">'LANDEV'!$B$44:$N$64</definedName>
    <definedName name="PAGE2">'LANDEV'!$B$65:$N$103</definedName>
    <definedName name="PAGE3">'LANDEV'!$B$131:$N$167</definedName>
    <definedName name="PAGE4">'LANDEV'!$B$188:$N$218</definedName>
    <definedName name="PAGE9">'LANDEV'!$AJ$136:$AJ$138</definedName>
    <definedName name="_xlnm.Print_Area" localSheetId="0">'LANDEV'!$A$1:$N$267</definedName>
    <definedName name="Print_Area_MI" localSheetId="0">'LANDEV'!$B$225:$N$252</definedName>
    <definedName name="RESULTS">'LANDEV'!$B$4:$M$43</definedName>
    <definedName name="SALCOP1">'LANDEV'!$B$55</definedName>
    <definedName name="SALCOP2">'LANDEV'!$B$60</definedName>
    <definedName name="SALENAME">'LANDEV'!$B$47:$B$50</definedName>
    <definedName name="SNAME1">'LANDEV'!$B$55</definedName>
    <definedName name="SNAME2">'LANDEV'!$B$60</definedName>
    <definedName name="SNAMES">'LANDEV'!$B$47:$B$50</definedName>
    <definedName name="TEMP">'LANDEV'!$D$55:$E$58</definedName>
  </definedNames>
  <calcPr fullCalcOnLoad="1"/>
</workbook>
</file>

<file path=xl/sharedStrings.xml><?xml version="1.0" encoding="utf-8"?>
<sst xmlns="http://schemas.openxmlformats.org/spreadsheetml/2006/main" count="416" uniqueCount="282">
  <si>
    <t>TOTAL</t>
  </si>
  <si>
    <t>-----</t>
  </si>
  <si>
    <t xml:space="preserve"> </t>
  </si>
  <si>
    <t>(1=annual, 2=semi-annual, 4=quarterly, 12=monthly)</t>
  </si>
  <si>
    <t>------</t>
  </si>
  <si>
    <t>/PPRA20.I43~Q/PPR{?}~G</t>
  </si>
  <si>
    <t>WHEN COMPUTER STOPS MOVE CURSOR TO CORRECT YEAR.</t>
  </si>
  <si>
    <t>/PPRA105.N142~Q/PPR{?}~G</t>
  </si>
  <si>
    <t xml:space="preserve">       2 = PRINT PAGE 2</t>
  </si>
  <si>
    <t>/PPRA161.N193~Q/PPR{?}~GQ</t>
  </si>
  <si>
    <t xml:space="preserve">       4 = PRINT PAGE 4</t>
  </si>
  <si>
    <t xml:space="preserve">       5 = PRINT PAGE 5</t>
  </si>
  <si>
    <t xml:space="preserve">       9 = PRINT ALL PAGES</t>
  </si>
  <si>
    <t>/wtc{GOTO}AH30~{GOTO}AH113~{GOTO}AI122~{?}~</t>
  </si>
  <si>
    <t>/PPRA20.I43~Q/PPR{?}~GQ</t>
  </si>
  <si>
    <t>/XIAI122=1~/XGPAGE1~</t>
  </si>
  <si>
    <t>/XIAI122=2~/XGPAGE2~</t>
  </si>
  <si>
    <t>/PpRA46.N102~Q/PPR{?}~GQ</t>
  </si>
  <si>
    <t>/XIAI122=3~/XGPAGE3~</t>
  </si>
  <si>
    <t>/XIAI122=4~/XGPAGE4~</t>
  </si>
  <si>
    <t>/PPRA105.N142~Q/PPR{?}~GQ</t>
  </si>
  <si>
    <t>/XIAI122=5~/XGPAGE5~</t>
  </si>
  <si>
    <t>/XIAI122=9~/XGPAGE9~</t>
  </si>
  <si>
    <t>/PPRA144.N159~Q/PPR{?}~GQ</t>
  </si>
  <si>
    <t>{goto}B1~{goto}d3~/wtb~</t>
  </si>
  <si>
    <t>AL</t>
  </si>
  <si>
    <t>ENTER COLUMN LETTERS TO BE PRINTED~{GOTO}AH22~{?}~</t>
  </si>
  <si>
    <t>\P</t>
  </si>
  <si>
    <t>PRINT EVERYTHING</t>
  </si>
  <si>
    <t>/C~AI24~{GOTO}</t>
  </si>
  <si>
    <t>======</t>
  </si>
  <si>
    <t>28~{?}</t>
  </si>
  <si>
    <t xml:space="preserve">    |</t>
  </si>
  <si>
    <t>IRR</t>
  </si>
  <si>
    <t xml:space="preserve">  0</t>
  </si>
  <si>
    <t>0</t>
  </si>
  <si>
    <t xml:space="preserve">  1</t>
  </si>
  <si>
    <t>1</t>
  </si>
  <si>
    <t xml:space="preserve">  2</t>
  </si>
  <si>
    <t>2</t>
  </si>
  <si>
    <t xml:space="preserve">  3</t>
  </si>
  <si>
    <t>3</t>
  </si>
  <si>
    <t xml:space="preserve">  4</t>
  </si>
  <si>
    <t>4</t>
  </si>
  <si>
    <t xml:space="preserve">  5</t>
  </si>
  <si>
    <t>5</t>
  </si>
  <si>
    <t xml:space="preserve">  6</t>
  </si>
  <si>
    <t>6</t>
  </si>
  <si>
    <t xml:space="preserve">  7</t>
  </si>
  <si>
    <t>7</t>
  </si>
  <si>
    <t xml:space="preserve">  8</t>
  </si>
  <si>
    <t>8</t>
  </si>
  <si>
    <t xml:space="preserve">  9</t>
  </si>
  <si>
    <t>9</t>
  </si>
  <si>
    <t xml:space="preserve"> 10</t>
  </si>
  <si>
    <t>10</t>
  </si>
  <si>
    <t xml:space="preserve"> 11</t>
  </si>
  <si>
    <t>11</t>
  </si>
  <si>
    <t xml:space="preserve"> 12</t>
  </si>
  <si>
    <t>12</t>
  </si>
  <si>
    <t xml:space="preserve"> 13</t>
  </si>
  <si>
    <t>13</t>
  </si>
  <si>
    <t xml:space="preserve"> 14</t>
  </si>
  <si>
    <t>14</t>
  </si>
  <si>
    <t xml:space="preserve"> 15</t>
  </si>
  <si>
    <t>15</t>
  </si>
  <si>
    <t xml:space="preserve"> 16</t>
  </si>
  <si>
    <t>16</t>
  </si>
  <si>
    <t>Phase 1 &amp; 2</t>
  </si>
  <si>
    <t>Phase 3 &amp; 4</t>
  </si>
  <si>
    <t>Phase 5  &amp; 6</t>
  </si>
  <si>
    <t>Phase 7 &amp; 8</t>
  </si>
  <si>
    <t>Fees &amp; Permits</t>
  </si>
  <si>
    <t>School Fees</t>
  </si>
  <si>
    <t>Indirect Land Development</t>
  </si>
  <si>
    <t>grading</t>
  </si>
  <si>
    <t>paving</t>
  </si>
  <si>
    <t>storm sewer</t>
  </si>
  <si>
    <t>water</t>
  </si>
  <si>
    <t>sanitary sewer</t>
  </si>
  <si>
    <t>offsite street paving</t>
  </si>
  <si>
    <t>Quick And Dirty Analysis</t>
  </si>
  <si>
    <t>Lots</t>
  </si>
  <si>
    <t>Price/lot</t>
  </si>
  <si>
    <t>Revenue</t>
  </si>
  <si>
    <t>Land</t>
  </si>
  <si>
    <t>Development Costs</t>
  </si>
  <si>
    <t>of sales</t>
  </si>
  <si>
    <t>Subtotal</t>
  </si>
  <si>
    <t>Equity</t>
  </si>
  <si>
    <t>Debt</t>
  </si>
  <si>
    <t>Avg Bal</t>
  </si>
  <si>
    <t>Duration</t>
  </si>
  <si>
    <t>Rate</t>
  </si>
  <si>
    <t>0.075/year</t>
  </si>
  <si>
    <t>Interest Calculation</t>
  </si>
  <si>
    <t>Financing Costs (2% x Max Loan Amount)</t>
  </si>
  <si>
    <t>Total Expenditures</t>
  </si>
  <si>
    <t>Profit</t>
  </si>
  <si>
    <t>1 year</t>
  </si>
  <si>
    <t xml:space="preserve">        Marketing</t>
  </si>
  <si>
    <t xml:space="preserve">        Administration &amp; Contingency</t>
  </si>
  <si>
    <t xml:space="preserve">          TOTAL Development Costs</t>
  </si>
  <si>
    <t>Expenditures</t>
  </si>
  <si>
    <t>Total</t>
  </si>
  <si>
    <t>Per lot</t>
  </si>
  <si>
    <t xml:space="preserve">                      </t>
  </si>
  <si>
    <t>Cash Flow Summary</t>
  </si>
  <si>
    <t>Cash and Loan Calculations and IRRs</t>
  </si>
  <si>
    <t>Figure 4-3-a, page 149</t>
  </si>
  <si>
    <t>Phase 1</t>
  </si>
  <si>
    <t>Phase 2</t>
  </si>
  <si>
    <t>Phase 3</t>
  </si>
  <si>
    <t>Phase 4</t>
  </si>
  <si>
    <t>Q4 2004</t>
  </si>
  <si>
    <t>Q1 2005</t>
  </si>
  <si>
    <t>Q2 2005</t>
  </si>
  <si>
    <t>Q3 2005</t>
  </si>
  <si>
    <t>Q4 2005</t>
  </si>
  <si>
    <t>Q1 2006</t>
  </si>
  <si>
    <t>Q2 2006</t>
  </si>
  <si>
    <t>Q3 2006</t>
  </si>
  <si>
    <t>Q4 2006</t>
  </si>
  <si>
    <t>Disclaimer: These spreadsheets are intended for educational use only. Users should consult with professional advisors and should not rely on the information contained herein for investment decisions. Any computations should be independently verified.</t>
  </si>
  <si>
    <t>Profit before interest</t>
  </si>
  <si>
    <t>Less interest</t>
  </si>
  <si>
    <t xml:space="preserve">Profit  </t>
  </si>
  <si>
    <t>Cash flow after financing</t>
  </si>
  <si>
    <t>Less repayment of equity</t>
  </si>
  <si>
    <t>Less unpaid loan balance</t>
  </si>
  <si>
    <t>Net present value @ 15%</t>
  </si>
  <si>
    <t>Year</t>
  </si>
  <si>
    <t>Net Profit</t>
  </si>
  <si>
    <t>Cash Inflows</t>
  </si>
  <si>
    <r>
      <t>b</t>
    </r>
    <r>
      <rPr>
        <sz val="10"/>
        <rFont val="Arial"/>
        <family val="2"/>
      </rPr>
      <t>The return on equity is computed on cash flows after financing. A leveraged rate of return gives the IRR on equity for the entire project (the owner/developer provides all necessary equity).</t>
    </r>
  </si>
  <si>
    <t xml:space="preserve"> Number of time periods per year:</t>
  </si>
  <si>
    <t xml:space="preserve">    Total</t>
  </si>
  <si>
    <t>Inflation</t>
  </si>
  <si>
    <t>Land note</t>
  </si>
  <si>
    <t>Data Input</t>
  </si>
  <si>
    <t>Total land cost</t>
  </si>
  <si>
    <t>Downpayment</t>
  </si>
  <si>
    <t>Starting balance</t>
  </si>
  <si>
    <t>Land note releases</t>
  </si>
  <si>
    <t>Remaining balance</t>
  </si>
  <si>
    <t>Additional note payments</t>
  </si>
  <si>
    <t>Ending balance</t>
  </si>
  <si>
    <t>Land note total</t>
  </si>
  <si>
    <t>Income</t>
  </si>
  <si>
    <t>Sales revenue</t>
  </si>
  <si>
    <t xml:space="preserve">  Less development loan interest</t>
  </si>
  <si>
    <t xml:space="preserve">  Less land note interest</t>
  </si>
  <si>
    <t>Starting cash balance</t>
  </si>
  <si>
    <t>Additions to equity</t>
  </si>
  <si>
    <t>Cash available for loan &amp; interest</t>
  </si>
  <si>
    <t>Loan repayments</t>
  </si>
  <si>
    <t>Interest</t>
  </si>
  <si>
    <t>Ending cash balance</t>
  </si>
  <si>
    <t>Beginning balance</t>
  </si>
  <si>
    <t>Loan draws</t>
  </si>
  <si>
    <t>Trial ending balance</t>
  </si>
  <si>
    <t>Average balance</t>
  </si>
  <si>
    <t>Interest rate</t>
  </si>
  <si>
    <t>Interest paid from cash</t>
  </si>
  <si>
    <t>Borrowings after interest</t>
  </si>
  <si>
    <t>Cumulative return on equity</t>
  </si>
  <si>
    <t>Net present value</t>
  </si>
  <si>
    <t>Total cash flows to investor</t>
  </si>
  <si>
    <t xml:space="preserve">    Cash distribution</t>
  </si>
  <si>
    <t xml:space="preserve">    Reduction of equity</t>
  </si>
  <si>
    <t xml:space="preserve">    Preferred return</t>
  </si>
  <si>
    <t xml:space="preserve">    Equity partner investment</t>
  </si>
  <si>
    <t xml:space="preserve">    Developer</t>
  </si>
  <si>
    <t xml:space="preserve">    Equity partner</t>
  </si>
  <si>
    <t>Ending equity balance</t>
  </si>
  <si>
    <t>Interest per period (decimal)</t>
  </si>
  <si>
    <t xml:space="preserve">             - </t>
  </si>
  <si>
    <t>Phase 5 &amp; 6</t>
  </si>
  <si>
    <r>
      <t>Period</t>
    </r>
    <r>
      <rPr>
        <b/>
        <vertAlign val="superscript"/>
        <sz val="10"/>
        <rFont val="Arial"/>
        <family val="2"/>
      </rPr>
      <t>f</t>
    </r>
  </si>
  <si>
    <t>Price/Lot</t>
  </si>
  <si>
    <t>Paving</t>
  </si>
  <si>
    <t>Grading</t>
  </si>
  <si>
    <t>Storm sewer</t>
  </si>
  <si>
    <t>Water</t>
  </si>
  <si>
    <t>Sanitary sewer</t>
  </si>
  <si>
    <t>Power</t>
  </si>
  <si>
    <t>Teldata/network</t>
  </si>
  <si>
    <t>Off-site street paving</t>
  </si>
  <si>
    <t>Fees &amp; permits</t>
  </si>
  <si>
    <t>School fees</t>
  </si>
  <si>
    <t>Indirect land development</t>
  </si>
  <si>
    <t>Pursuit/transaction</t>
  </si>
  <si>
    <t>Beginning lots released</t>
  </si>
  <si>
    <t>Ending lots released</t>
  </si>
  <si>
    <t>Lots to be released</t>
  </si>
  <si>
    <t>Repayment terms</t>
  </si>
  <si>
    <t>Minimum land payments</t>
  </si>
  <si>
    <t>Maximum land note balance</t>
  </si>
  <si>
    <r>
      <t>c</t>
    </r>
    <r>
      <rPr>
        <sz val="10"/>
        <rFont val="Arial"/>
        <family val="2"/>
      </rPr>
      <t>Each period is a quarter (line 2). The number of periods per year should be chosen to produce five to 15 periods overall. A ten-year project is best analyzed with annual periods (ten periods), a 20-year project with two-year periods (ten periods), and a three-year project with quarterly periods (12 periods).</t>
    </r>
  </si>
  <si>
    <t>Price Escalation/</t>
  </si>
  <si>
    <r>
      <t>0</t>
    </r>
    <r>
      <rPr>
        <b/>
        <vertAlign val="superscript"/>
        <sz val="10"/>
        <rFont val="Arial"/>
        <family val="2"/>
      </rPr>
      <t>i</t>
    </r>
  </si>
  <si>
    <t xml:space="preserve">Pursuit/transaction </t>
  </si>
  <si>
    <t>Administration &amp; contingency</t>
  </si>
  <si>
    <r>
      <t>Lots sold</t>
    </r>
    <r>
      <rPr>
        <sz val="10"/>
        <rFont val="Calibri"/>
        <family val="2"/>
      </rPr>
      <t>—</t>
    </r>
    <r>
      <rPr>
        <sz val="10"/>
        <rFont val="Arial"/>
        <family val="2"/>
      </rPr>
      <t>enter release price/lot</t>
    </r>
  </si>
  <si>
    <t>Cash Flow after Financing</t>
  </si>
  <si>
    <t>Cumulative Cash Position</t>
  </si>
  <si>
    <t>Figure 3-8d</t>
  </si>
  <si>
    <t>Figure 3-8b Assumptions:  Sales, Prices, Development Costs, Land Note</t>
  </si>
  <si>
    <t>Figure 3-8c</t>
  </si>
  <si>
    <t>Cash Account and Loan Calculation</t>
  </si>
  <si>
    <t>Cash Account</t>
  </si>
  <si>
    <t>Amount to be financed before interest</t>
  </si>
  <si>
    <t>Loan Account</t>
  </si>
  <si>
    <t>Quarter IRRs</t>
  </si>
  <si>
    <t>Figure 3-8e</t>
  </si>
  <si>
    <t>Cash in/cash out</t>
  </si>
  <si>
    <t xml:space="preserve">     (cash flows before interest &amp; financing)</t>
  </si>
  <si>
    <t xml:space="preserve">  (net cash flows after financing)</t>
  </si>
  <si>
    <t>Total expenses</t>
  </si>
  <si>
    <t>Total income</t>
  </si>
  <si>
    <t>Financing</t>
  </si>
  <si>
    <t>Plus Development Loan Borrowings</t>
  </si>
  <si>
    <t>Plus Equity</t>
  </si>
  <si>
    <t>Plus Land Note Borrowings</t>
  </si>
  <si>
    <t>Less Development Loan Repayments</t>
  </si>
  <si>
    <t>Starting equity balance</t>
  </si>
  <si>
    <t xml:space="preserve"> Equity investment</t>
  </si>
  <si>
    <t>Preferred return paid</t>
  </si>
  <si>
    <t>Preferred return accrued</t>
  </si>
  <si>
    <t>Reduction of equity</t>
  </si>
  <si>
    <r>
      <t>a</t>
    </r>
    <r>
      <rPr>
        <sz val="10"/>
        <rFont val="Arial"/>
        <family val="2"/>
      </rPr>
      <t>The unleveraged return is computed on the cash flows before financing. Thus, it is an all-equity rate of return. The unleveraged return should be significantly greater than the interest rate on financing. Otherwise, no profit will be left over after financing costs are paid.</t>
    </r>
  </si>
  <si>
    <t>Less Land Note Repayments</t>
  </si>
  <si>
    <t>Return on Equity</t>
  </si>
  <si>
    <t>Unleveraged Return</t>
  </si>
  <si>
    <r>
      <t>x</t>
    </r>
    <r>
      <rPr>
        <sz val="11"/>
        <rFont val="Arial"/>
        <family val="2"/>
      </rPr>
      <t>The investors' IRR is computed on line 140. The IRR is the discount rate for which the present value of future cash flows equals the initial investment ($4 million in Period 0). Since the periods are quarters, the IRR is multiplied by 4 to give an annualized rate of return. Note: Due to rounding, some totals may not add exactly.</t>
    </r>
  </si>
  <si>
    <r>
      <t>w</t>
    </r>
    <r>
      <rPr>
        <sz val="11"/>
        <rFont val="Arial"/>
        <family val="2"/>
      </rPr>
      <t>The cash distribution percentages are negotiated between the developer and the equity investors (lines 130 through 132).</t>
    </r>
  </si>
  <si>
    <r>
      <t>v</t>
    </r>
    <r>
      <rPr>
        <sz val="11"/>
        <rFont val="Arial"/>
        <family val="2"/>
      </rPr>
      <t>Noncumulative preferred returns are not accumulated into future periods. If the amount of cash from the current period is insufficient to pay the noncumulative preferred return, it is forgotten (line 124).</t>
    </r>
  </si>
  <si>
    <r>
      <t>u</t>
    </r>
    <r>
      <rPr>
        <sz val="11"/>
        <rFont val="Arial"/>
        <family val="2"/>
      </rPr>
      <t>Preferred returns are priority returns of cash flow to the investors. Cumulative preferred returns are accumulated into succeeding periods whenever the amount of cash available is insufficient to pay the preferred return in the current period (line 123).</t>
    </r>
  </si>
  <si>
    <r>
      <rPr>
        <vertAlign val="superscript"/>
        <sz val="11"/>
        <rFont val="Arial"/>
        <family val="2"/>
      </rPr>
      <t>t</t>
    </r>
    <r>
      <rPr>
        <sz val="11"/>
        <rFont val="Arial"/>
        <family val="2"/>
      </rPr>
      <t>The investor return analysis is a before-tax computation of cash flows to the developer and investors in a joint venture (lines 118 through 140). If the landowner contributes the land to the deal, the land value is treated as cash equity for purposes of this calculation.</t>
    </r>
  </si>
  <si>
    <r>
      <t>r</t>
    </r>
    <r>
      <rPr>
        <sz val="10"/>
        <rFont val="Arial"/>
        <family val="2"/>
      </rPr>
      <t>Development loan repayments, called "releases," are typically a negotiated ratio, usually 1.1 to 1.3 times the loan amount per lot (line 85). Release prices are usually assigned to each lot, depending on its relative value. In this analysis, all positive cash flows are assumed to go toward paying down the development loan until it is fully retired.</t>
    </r>
  </si>
  <si>
    <r>
      <t>p</t>
    </r>
    <r>
      <rPr>
        <sz val="10"/>
        <rFont val="Arial"/>
        <family val="2"/>
      </rPr>
      <t>Profit before interest is derived from  line 77, which sums the differences between total income and total expenses. This line gives the unleveraged cash flows, before financing, found in the results summary in figure 3-8a.</t>
    </r>
  </si>
  <si>
    <r>
      <t>o</t>
    </r>
    <r>
      <rPr>
        <sz val="10"/>
        <rFont val="Arial"/>
        <family val="2"/>
      </rPr>
      <t xml:space="preserve">Some cost categories, such as marketing, are typically calculated as percentages of sales revenues (line 74). </t>
    </r>
  </si>
  <si>
    <r>
      <t>n</t>
    </r>
    <r>
      <rPr>
        <sz val="10"/>
        <rFont val="Arial"/>
        <family val="2"/>
      </rPr>
      <t xml:space="preserve">Even if land is contributed to the deal, its cost should be included as an expense (lines 78 and 79). </t>
    </r>
  </si>
  <si>
    <r>
      <t>m</t>
    </r>
    <r>
      <rPr>
        <sz val="10"/>
        <rFont val="Arial"/>
        <family val="2"/>
      </rPr>
      <t>Expenses summarizes the cost entries in lines 59 through 76. Figures in the summary are higher in most categories because they include inflation.</t>
    </r>
  </si>
  <si>
    <r>
      <rPr>
        <vertAlign val="superscript"/>
        <sz val="10"/>
        <rFont val="Arial"/>
        <family val="2"/>
      </rPr>
      <t>l</t>
    </r>
    <r>
      <rPr>
        <sz val="10"/>
        <rFont val="Arial"/>
        <family val="2"/>
      </rPr>
      <t>The cash flow summary presents the net cash flows from the land development (lines 54 through 88).</t>
    </r>
  </si>
  <si>
    <r>
      <t>k</t>
    </r>
    <r>
      <rPr>
        <sz val="10"/>
        <rFont val="Arial"/>
        <family val="2"/>
      </rPr>
      <t>Interest on the development loan typically is borrowed as part of the development loan. It may, however, be funded by cash payments rather than additional borrowing (line 49).</t>
    </r>
  </si>
  <si>
    <r>
      <t>i</t>
    </r>
    <r>
      <rPr>
        <sz val="10"/>
        <rFont val="Arial"/>
        <family val="2"/>
      </rPr>
      <t>Time 0 should be treated as a separate period. Typically, Time 0 is the time of closing. Costs incurred before Time 0 should be lumped together as "startup costs."</t>
    </r>
  </si>
  <si>
    <r>
      <t>h</t>
    </r>
    <r>
      <rPr>
        <sz val="10"/>
        <rFont val="Arial"/>
        <family val="2"/>
      </rPr>
      <t>Costs are entered by category and period. Detailed cost breakdowns for individual categories, such as utilities, are best handled in supporting spreadsheets (see lines 20 through 33), since an overabundance of detail makes the analysis more difficult to follow.</t>
    </r>
  </si>
  <si>
    <r>
      <t>g</t>
    </r>
    <r>
      <rPr>
        <sz val="10"/>
        <rFont val="Arial"/>
        <family val="2"/>
      </rPr>
      <t>Sales revenue is computed from the number of acres or units sold per period times the price per period (lines 14 through 19).</t>
    </r>
  </si>
  <si>
    <r>
      <t>f</t>
    </r>
    <r>
      <rPr>
        <sz val="10"/>
        <rFont val="Arial"/>
        <family val="2"/>
      </rPr>
      <t>Lot prices may be escalated at a given rate per period (lines 9 through 13).</t>
    </r>
  </si>
  <si>
    <r>
      <t>e</t>
    </r>
    <r>
      <rPr>
        <sz val="10"/>
        <rFont val="Arial"/>
        <family val="2"/>
      </rPr>
      <t>Sale prices are expressed in the same units as are sales. Thus, if residential sales are expressed in lots, sales prices should be expressed in price per lot (lines 9 through 13).</t>
    </r>
  </si>
  <si>
    <r>
      <t>d</t>
    </r>
    <r>
      <rPr>
        <sz val="10"/>
        <rFont val="Arial"/>
        <family val="2"/>
      </rPr>
      <t>Sales by product type are entered for each period. Units of measurement do not have to be the same. Thus, residential sales may be expressed as number of lots sold per period (lines 3 through 8); office space is expressed in acres sold per period.</t>
    </r>
  </si>
  <si>
    <r>
      <t>j</t>
    </r>
    <r>
      <rPr>
        <sz val="10"/>
        <rFont val="Arial"/>
        <family val="2"/>
      </rPr>
      <t>The land note defines the terms, if any, of the land purchase from the land seller. The release price negotiated in the land note is $41,000 per lot (note that the release price often differs for different lots). Given a downpayment of $1,262,000, 30.8 lots (line 39) are released immediately from the note.  The land note also defines the repayment terms (line 43).  If sales are slower than the terms of the note, then the developer must pay additional money to satisfy the land note (line 49), which releases additional lots (line 51).  If lot sales occur faster than the note repayment terms require, then additional lots must be released (line 41) in order to sell the lots. In the example, the sales pace is slower than the terms of the note. If releases from sales are slower than those required under the amortization terms of the land note, then the shortfall is covered by the development loan or additional equity (line 49).</t>
    </r>
  </si>
  <si>
    <r>
      <rPr>
        <vertAlign val="superscript"/>
        <sz val="10"/>
        <rFont val="Arial"/>
        <family val="2"/>
      </rPr>
      <t>q</t>
    </r>
    <r>
      <rPr>
        <sz val="10"/>
        <rFont val="Arial"/>
        <family val="2"/>
      </rPr>
      <t>A primary purpose of the analysis is to determine the amount and timing of development loan requirements (lines 83 through 86). Cash equity (or land equity that is considered "cash" if it is contributed to the deal) is infused into the project initially (line 82). As money becomes available from sales, it is used to retire the development loan.</t>
    </r>
  </si>
  <si>
    <r>
      <t>s</t>
    </r>
    <r>
      <rPr>
        <sz val="10"/>
        <rFont val="Arial"/>
        <family val="2"/>
      </rPr>
      <t>IRRs are calculated on the profit before interest (line 114) and cash flows after financing and interest (line 115). These IRRs are included in the results in figure 3-8a.</t>
    </r>
  </si>
  <si>
    <t>===========</t>
  </si>
  <si>
    <t>Additional lots released</t>
  </si>
  <si>
    <r>
      <t>Investor Return Analysis</t>
    </r>
    <r>
      <rPr>
        <b/>
        <vertAlign val="superscript"/>
        <sz val="12"/>
        <rFont val="Arial"/>
        <family val="2"/>
      </rPr>
      <t>t</t>
    </r>
  </si>
  <si>
    <t>Rate of Return Calculation</t>
  </si>
  <si>
    <t xml:space="preserve">                                DCF Results</t>
  </si>
  <si>
    <t xml:space="preserve">                                Figure 3-8a</t>
  </si>
  <si>
    <r>
      <t xml:space="preserve">             Unleveraged return </t>
    </r>
    <r>
      <rPr>
        <b/>
        <vertAlign val="superscript"/>
        <sz val="10"/>
        <rFont val="Arial"/>
        <family val="2"/>
      </rPr>
      <t>a/</t>
    </r>
  </si>
  <si>
    <r>
      <t xml:space="preserve">  Leveraged return on equity </t>
    </r>
    <r>
      <rPr>
        <b/>
        <vertAlign val="superscript"/>
        <sz val="10"/>
        <rFont val="Arial"/>
        <family val="2"/>
      </rPr>
      <t>b/</t>
    </r>
  </si>
  <si>
    <r>
      <t xml:space="preserve">0 </t>
    </r>
    <r>
      <rPr>
        <b/>
        <vertAlign val="superscript"/>
        <sz val="10"/>
        <rFont val="Arial"/>
        <family val="2"/>
      </rPr>
      <t>c/</t>
    </r>
  </si>
  <si>
    <r>
      <t>Sales (Lots)</t>
    </r>
    <r>
      <rPr>
        <b/>
        <vertAlign val="superscript"/>
        <sz val="10"/>
        <rFont val="Arial"/>
        <family val="2"/>
      </rPr>
      <t>d/</t>
    </r>
  </si>
  <si>
    <r>
      <rPr>
        <b/>
        <sz val="10"/>
        <rFont val="Arial"/>
        <family val="2"/>
      </rPr>
      <t>Sales</t>
    </r>
    <r>
      <rPr>
        <sz val="10"/>
        <rFont val="Arial"/>
        <family val="2"/>
      </rPr>
      <t xml:space="preserve"> prices </t>
    </r>
    <r>
      <rPr>
        <b/>
        <vertAlign val="superscript"/>
        <sz val="10"/>
        <rFont val="Arial"/>
        <family val="2"/>
      </rPr>
      <t>e/</t>
    </r>
  </si>
  <si>
    <r>
      <t>Price/Ft</t>
    </r>
    <r>
      <rPr>
        <b/>
        <vertAlign val="superscript"/>
        <sz val="10"/>
        <rFont val="Arial"/>
        <family val="2"/>
      </rPr>
      <t>2</t>
    </r>
  </si>
  <si>
    <r>
      <t xml:space="preserve">Sales Revenues </t>
    </r>
    <r>
      <rPr>
        <b/>
        <vertAlign val="superscript"/>
        <sz val="10"/>
        <rFont val="Arial"/>
        <family val="2"/>
      </rPr>
      <t>g/</t>
    </r>
  </si>
  <si>
    <r>
      <t xml:space="preserve">Costs </t>
    </r>
    <r>
      <rPr>
        <b/>
        <vertAlign val="superscript"/>
        <sz val="10"/>
        <rFont val="Arial"/>
        <family val="2"/>
      </rPr>
      <t>h/</t>
    </r>
  </si>
  <si>
    <r>
      <t xml:space="preserve">Land Note </t>
    </r>
    <r>
      <rPr>
        <b/>
        <vertAlign val="superscript"/>
        <sz val="10"/>
        <rFont val="Arial"/>
        <family val="2"/>
      </rPr>
      <t>j</t>
    </r>
  </si>
  <si>
    <r>
      <t xml:space="preserve">Interest for period </t>
    </r>
    <r>
      <rPr>
        <vertAlign val="superscript"/>
        <sz val="10"/>
        <rFont val="Arial"/>
        <family val="2"/>
      </rPr>
      <t>k/</t>
    </r>
  </si>
  <si>
    <r>
      <t xml:space="preserve">Cash Flow Summary </t>
    </r>
    <r>
      <rPr>
        <b/>
        <vertAlign val="superscript"/>
        <sz val="10"/>
        <rFont val="Arial"/>
        <family val="2"/>
      </rPr>
      <t>l/</t>
    </r>
  </si>
  <si>
    <r>
      <t xml:space="preserve">Expenses </t>
    </r>
    <r>
      <rPr>
        <b/>
        <vertAlign val="superscript"/>
        <sz val="10"/>
        <rFont val="Arial"/>
        <family val="2"/>
      </rPr>
      <t>m/</t>
    </r>
  </si>
  <si>
    <r>
      <t xml:space="preserve">Land </t>
    </r>
    <r>
      <rPr>
        <vertAlign val="superscript"/>
        <sz val="10"/>
        <rFont val="Arial"/>
        <family val="2"/>
      </rPr>
      <t>n/</t>
    </r>
  </si>
  <si>
    <r>
      <t xml:space="preserve">Marketing </t>
    </r>
    <r>
      <rPr>
        <vertAlign val="superscript"/>
        <sz val="10"/>
        <color indexed="12"/>
        <rFont val="Arial"/>
        <family val="2"/>
      </rPr>
      <t>o/</t>
    </r>
  </si>
  <si>
    <r>
      <t xml:space="preserve">Profit before Interest </t>
    </r>
    <r>
      <rPr>
        <vertAlign val="superscript"/>
        <sz val="10"/>
        <rFont val="Arial"/>
        <family val="2"/>
      </rPr>
      <t>p/</t>
    </r>
  </si>
  <si>
    <r>
      <t xml:space="preserve">NPV and IRR Calculations </t>
    </r>
    <r>
      <rPr>
        <b/>
        <vertAlign val="superscript"/>
        <sz val="10"/>
        <rFont val="Arial"/>
        <family val="2"/>
      </rPr>
      <t>s/</t>
    </r>
  </si>
  <si>
    <r>
      <t xml:space="preserve">Cash Flows to Investors </t>
    </r>
    <r>
      <rPr>
        <b/>
        <vertAlign val="superscript"/>
        <sz val="10"/>
        <rFont val="Arial"/>
        <family val="2"/>
      </rPr>
      <t>t/</t>
    </r>
  </si>
  <si>
    <r>
      <t xml:space="preserve">Cumulative preferred return </t>
    </r>
    <r>
      <rPr>
        <vertAlign val="superscript"/>
        <sz val="10"/>
        <rFont val="Arial"/>
        <family val="2"/>
      </rPr>
      <t>u/</t>
    </r>
  </si>
  <si>
    <r>
      <t xml:space="preserve">Noncumulative preferred return </t>
    </r>
    <r>
      <rPr>
        <vertAlign val="superscript"/>
        <sz val="10"/>
        <rFont val="Arial"/>
        <family val="2"/>
      </rPr>
      <t>v/</t>
    </r>
  </si>
  <si>
    <r>
      <t xml:space="preserve">Cash for distribution </t>
    </r>
    <r>
      <rPr>
        <vertAlign val="superscript"/>
        <sz val="10"/>
        <rFont val="Arial"/>
        <family val="2"/>
      </rPr>
      <t>w/</t>
    </r>
  </si>
  <si>
    <r>
      <t xml:space="preserve">IRR </t>
    </r>
    <r>
      <rPr>
        <vertAlign val="superscript"/>
        <sz val="10"/>
        <rFont val="Arial"/>
        <family val="2"/>
      </rPr>
      <t>x/</t>
    </r>
  </si>
</sst>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_)"/>
    <numFmt numFmtId="165" formatCode="0_)"/>
    <numFmt numFmtId="166" formatCode="0.000_)"/>
    <numFmt numFmtId="167" formatCode="0.00_)"/>
    <numFmt numFmtId="168" formatCode="0.0000_)"/>
    <numFmt numFmtId="169" formatCode="0.00000_)"/>
    <numFmt numFmtId="170" formatCode="0.000000_)"/>
    <numFmt numFmtId="171" formatCode="_(* #,##0_);_(* \(#,##0\);_(* &quot;-&quot;??_);_(@_)"/>
    <numFmt numFmtId="172" formatCode="_(* #,##0.000_);_(* \(#,##0.000\);_(* &quot;-&quot;??_);_(@_)"/>
    <numFmt numFmtId="173" formatCode="_(* #,##0.0000_);_(* \(#,##0.0000\);_(* &quot;-&quot;??_);_(@_)"/>
    <numFmt numFmtId="174" formatCode="_(* #,##0.0_);_(* \(#,##0.0\);_(* &quot;-&quot;??_);_(@_)"/>
    <numFmt numFmtId="175" formatCode="0.0%"/>
    <numFmt numFmtId="176" formatCode="_(* #,##0.0_);_(* \(#,##0.0\);_(* &quot;-&quot;?_);_(@_)"/>
    <numFmt numFmtId="177" formatCode="&quot;Yes&quot;;&quot;Yes&quot;;&quot;No&quot;"/>
    <numFmt numFmtId="178" formatCode="&quot;True&quot;;&quot;True&quot;;&quot;False&quot;"/>
    <numFmt numFmtId="179" formatCode="&quot;On&quot;;&quot;On&quot;;&quot;Off&quot;"/>
  </numFmts>
  <fonts count="64">
    <font>
      <sz val="10"/>
      <name val="Courier"/>
      <family val="0"/>
    </font>
    <font>
      <b/>
      <sz val="10"/>
      <name val="Arial"/>
      <family val="0"/>
    </font>
    <font>
      <i/>
      <sz val="10"/>
      <name val="Arial"/>
      <family val="0"/>
    </font>
    <font>
      <b/>
      <i/>
      <sz val="10"/>
      <name val="Arial"/>
      <family val="0"/>
    </font>
    <font>
      <sz val="10"/>
      <name val="Arial"/>
      <family val="0"/>
    </font>
    <font>
      <u val="single"/>
      <sz val="10"/>
      <name val="Arial"/>
      <family val="2"/>
    </font>
    <font>
      <sz val="10"/>
      <color indexed="12"/>
      <name val="Arial"/>
      <family val="2"/>
    </font>
    <font>
      <b/>
      <sz val="14"/>
      <name val="Arial"/>
      <family val="2"/>
    </font>
    <font>
      <vertAlign val="superscript"/>
      <sz val="11"/>
      <name val="Arial"/>
      <family val="2"/>
    </font>
    <font>
      <sz val="11"/>
      <name val="Arial"/>
      <family val="2"/>
    </font>
    <font>
      <vertAlign val="superscript"/>
      <sz val="10"/>
      <name val="Arial"/>
      <family val="2"/>
    </font>
    <font>
      <b/>
      <vertAlign val="superscript"/>
      <sz val="10"/>
      <name val="Arial"/>
      <family val="2"/>
    </font>
    <font>
      <sz val="10"/>
      <name val="Calibri"/>
      <family val="2"/>
    </font>
    <font>
      <vertAlign val="superscript"/>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10"/>
      <name val="Arial"/>
      <family val="2"/>
    </font>
    <font>
      <sz val="10"/>
      <color indexed="36"/>
      <name val="Arial"/>
      <family val="2"/>
    </font>
    <font>
      <sz val="10"/>
      <color indexed="62"/>
      <name val="Arial"/>
      <family val="2"/>
    </font>
    <font>
      <sz val="10"/>
      <color indexed="30"/>
      <name val="Arial"/>
      <family val="2"/>
    </font>
    <font>
      <b/>
      <sz val="12"/>
      <name val="Arial"/>
      <family val="2"/>
    </font>
    <font>
      <b/>
      <vertAlign val="superscript"/>
      <sz val="12"/>
      <name val="Arial"/>
      <family val="2"/>
    </font>
    <font>
      <b/>
      <sz val="10"/>
      <color indexed="9"/>
      <name val="Arial"/>
      <family val="2"/>
    </font>
    <font>
      <sz val="10"/>
      <color indexed="9"/>
      <name val="Arial"/>
      <family val="2"/>
    </font>
    <font>
      <u val="single"/>
      <sz val="10"/>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Arial"/>
      <family val="2"/>
    </font>
    <font>
      <sz val="10"/>
      <color rgb="FF7030A0"/>
      <name val="Arial"/>
      <family val="2"/>
    </font>
    <font>
      <sz val="10"/>
      <color theme="4" tint="-0.24993999302387238"/>
      <name val="Arial"/>
      <family val="2"/>
    </font>
    <font>
      <sz val="10"/>
      <color rgb="FF0070C0"/>
      <name val="Arial"/>
      <family val="2"/>
    </font>
    <font>
      <b/>
      <sz val="10"/>
      <color theme="0"/>
      <name val="Arial"/>
      <family val="2"/>
    </font>
    <font>
      <sz val="10"/>
      <color theme="0"/>
      <name val="Arial"/>
      <family val="2"/>
    </font>
    <font>
      <u val="single"/>
      <sz val="10"/>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s>
  <cellStyleXfs count="61">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4"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42">
    <xf numFmtId="164" fontId="0" fillId="0" borderId="0" xfId="0" applyAlignment="1">
      <alignment/>
    </xf>
    <xf numFmtId="171" fontId="5" fillId="0" borderId="0" xfId="42" applyNumberFormat="1" applyFont="1" applyBorder="1" applyAlignment="1">
      <alignment/>
    </xf>
    <xf numFmtId="171" fontId="6" fillId="0" borderId="0" xfId="42" applyNumberFormat="1" applyFont="1" applyAlignment="1" applyProtection="1">
      <alignment/>
      <protection locked="0"/>
    </xf>
    <xf numFmtId="171" fontId="4" fillId="0" borderId="0" xfId="42" applyNumberFormat="1" applyFont="1" applyAlignment="1">
      <alignment/>
    </xf>
    <xf numFmtId="171" fontId="4" fillId="0" borderId="0" xfId="42" applyNumberFormat="1" applyFont="1" applyAlignment="1" applyProtection="1">
      <alignment horizontal="right"/>
      <protection/>
    </xf>
    <xf numFmtId="171" fontId="4" fillId="0" borderId="0" xfId="42" applyNumberFormat="1" applyFont="1" applyAlignment="1" applyProtection="1">
      <alignment/>
      <protection/>
    </xf>
    <xf numFmtId="171" fontId="4" fillId="0" borderId="0" xfId="42" applyNumberFormat="1" applyFont="1" applyAlignment="1" applyProtection="1">
      <alignment horizontal="left"/>
      <protection/>
    </xf>
    <xf numFmtId="171" fontId="4" fillId="0" borderId="0" xfId="42" applyNumberFormat="1" applyFont="1" applyAlignment="1">
      <alignment horizontal="right"/>
    </xf>
    <xf numFmtId="171" fontId="4" fillId="0" borderId="0" xfId="42" applyNumberFormat="1" applyFont="1" applyAlignment="1" applyProtection="1">
      <alignment horizontal="fill"/>
      <protection/>
    </xf>
    <xf numFmtId="171" fontId="5" fillId="0" borderId="0" xfId="42" applyNumberFormat="1" applyFont="1" applyAlignment="1">
      <alignment/>
    </xf>
    <xf numFmtId="171" fontId="4" fillId="0" borderId="10" xfId="42" applyNumberFormat="1" applyFont="1" applyBorder="1" applyAlignment="1" applyProtection="1">
      <alignment horizontal="center"/>
      <protection/>
    </xf>
    <xf numFmtId="171" fontId="4" fillId="0" borderId="10" xfId="42" applyNumberFormat="1" applyFont="1" applyBorder="1" applyAlignment="1" applyProtection="1">
      <alignment/>
      <protection/>
    </xf>
    <xf numFmtId="171" fontId="4" fillId="0" borderId="10" xfId="42" applyNumberFormat="1" applyFont="1" applyBorder="1" applyAlignment="1" applyProtection="1">
      <alignment horizontal="left"/>
      <protection/>
    </xf>
    <xf numFmtId="171" fontId="4" fillId="0" borderId="10" xfId="42" applyNumberFormat="1" applyFont="1" applyBorder="1" applyAlignment="1" applyProtection="1">
      <alignment horizontal="right"/>
      <protection/>
    </xf>
    <xf numFmtId="171" fontId="6" fillId="0" borderId="10" xfId="42" applyNumberFormat="1" applyFont="1" applyBorder="1" applyAlignment="1" applyProtection="1">
      <alignment/>
      <protection locked="0"/>
    </xf>
    <xf numFmtId="171" fontId="4" fillId="0" borderId="10" xfId="42" applyNumberFormat="1" applyFont="1" applyBorder="1" applyAlignment="1">
      <alignment/>
    </xf>
    <xf numFmtId="171" fontId="6" fillId="0" borderId="10" xfId="42" applyNumberFormat="1" applyFont="1" applyBorder="1" applyAlignment="1" applyProtection="1">
      <alignment horizontal="left"/>
      <protection locked="0"/>
    </xf>
    <xf numFmtId="171" fontId="4" fillId="0" borderId="0" xfId="42" applyNumberFormat="1" applyFont="1" applyBorder="1" applyAlignment="1">
      <alignment/>
    </xf>
    <xf numFmtId="171" fontId="4" fillId="0" borderId="0" xfId="42" applyNumberFormat="1" applyFont="1" applyBorder="1" applyAlignment="1" applyProtection="1">
      <alignment horizontal="left"/>
      <protection/>
    </xf>
    <xf numFmtId="171" fontId="4" fillId="0" borderId="0" xfId="42" applyNumberFormat="1" applyFont="1" applyBorder="1" applyAlignment="1" applyProtection="1">
      <alignment/>
      <protection/>
    </xf>
    <xf numFmtId="171" fontId="1" fillId="0" borderId="10" xfId="42" applyNumberFormat="1" applyFont="1" applyBorder="1" applyAlignment="1" applyProtection="1">
      <alignment horizontal="left"/>
      <protection/>
    </xf>
    <xf numFmtId="1" fontId="4" fillId="0" borderId="10" xfId="42" applyNumberFormat="1" applyFont="1" applyBorder="1" applyAlignment="1" applyProtection="1">
      <alignment/>
      <protection/>
    </xf>
    <xf numFmtId="3" fontId="4" fillId="0" borderId="10" xfId="42" applyNumberFormat="1" applyFont="1" applyBorder="1" applyAlignment="1" applyProtection="1">
      <alignment/>
      <protection/>
    </xf>
    <xf numFmtId="171" fontId="1" fillId="0" borderId="11" xfId="42" applyNumberFormat="1" applyFont="1" applyBorder="1" applyAlignment="1" applyProtection="1">
      <alignment horizontal="left"/>
      <protection/>
    </xf>
    <xf numFmtId="171" fontId="4" fillId="0" borderId="11" xfId="42" applyNumberFormat="1" applyFont="1" applyBorder="1" applyAlignment="1" applyProtection="1">
      <alignment horizontal="fill"/>
      <protection/>
    </xf>
    <xf numFmtId="171" fontId="4" fillId="0" borderId="0" xfId="42" applyNumberFormat="1" applyFont="1" applyBorder="1" applyAlignment="1" applyProtection="1">
      <alignment horizontal="fill"/>
      <protection/>
    </xf>
    <xf numFmtId="171" fontId="4" fillId="0" borderId="0" xfId="42" applyNumberFormat="1" applyFont="1" applyFill="1" applyAlignment="1" applyProtection="1">
      <alignment/>
      <protection/>
    </xf>
    <xf numFmtId="171" fontId="4" fillId="0" borderId="0" xfId="42" applyNumberFormat="1" applyFont="1" applyFill="1" applyAlignment="1">
      <alignment/>
    </xf>
    <xf numFmtId="171" fontId="4" fillId="0" borderId="11" xfId="42" applyNumberFormat="1" applyFont="1" applyFill="1" applyBorder="1" applyAlignment="1" applyProtection="1">
      <alignment horizontal="left"/>
      <protection/>
    </xf>
    <xf numFmtId="171" fontId="4" fillId="0" borderId="0" xfId="42" applyNumberFormat="1" applyFont="1" applyFill="1" applyBorder="1" applyAlignment="1" applyProtection="1">
      <alignment horizontal="left"/>
      <protection/>
    </xf>
    <xf numFmtId="171" fontId="4" fillId="0" borderId="0" xfId="42" applyNumberFormat="1" applyFont="1" applyFill="1" applyBorder="1" applyAlignment="1">
      <alignment/>
    </xf>
    <xf numFmtId="171" fontId="4" fillId="0" borderId="10" xfId="42" applyNumberFormat="1" applyFont="1" applyFill="1" applyBorder="1" applyAlignment="1" applyProtection="1">
      <alignment/>
      <protection/>
    </xf>
    <xf numFmtId="171" fontId="4" fillId="0" borderId="10" xfId="42" applyNumberFormat="1" applyFont="1" applyFill="1" applyBorder="1" applyAlignment="1">
      <alignment/>
    </xf>
    <xf numFmtId="171" fontId="4" fillId="0" borderId="0" xfId="42" applyNumberFormat="1" applyFont="1" applyAlignment="1">
      <alignment horizontal="center"/>
    </xf>
    <xf numFmtId="171" fontId="1" fillId="0" borderId="10" xfId="42" applyNumberFormat="1" applyFont="1" applyBorder="1" applyAlignment="1" applyProtection="1">
      <alignment horizontal="right"/>
      <protection/>
    </xf>
    <xf numFmtId="171" fontId="1" fillId="0" borderId="10" xfId="42" applyNumberFormat="1" applyFont="1" applyBorder="1" applyAlignment="1" applyProtection="1" quotePrefix="1">
      <alignment horizontal="right"/>
      <protection/>
    </xf>
    <xf numFmtId="171" fontId="1" fillId="0" borderId="10" xfId="42" applyNumberFormat="1" applyFont="1" applyBorder="1" applyAlignment="1" applyProtection="1">
      <alignment/>
      <protection/>
    </xf>
    <xf numFmtId="1" fontId="1" fillId="0" borderId="10" xfId="42" applyNumberFormat="1" applyFont="1" applyBorder="1" applyAlignment="1" applyProtection="1">
      <alignment horizontal="right"/>
      <protection/>
    </xf>
    <xf numFmtId="1" fontId="1" fillId="0" borderId="10" xfId="42" applyNumberFormat="1" applyFont="1" applyBorder="1" applyAlignment="1" applyProtection="1" quotePrefix="1">
      <alignment horizontal="right"/>
      <protection/>
    </xf>
    <xf numFmtId="171" fontId="1" fillId="0" borderId="10" xfId="42" applyNumberFormat="1" applyFont="1" applyBorder="1" applyAlignment="1" applyProtection="1">
      <alignment horizontal="center"/>
      <protection/>
    </xf>
    <xf numFmtId="1" fontId="1" fillId="0" borderId="10" xfId="42" applyNumberFormat="1" applyFont="1" applyBorder="1" applyAlignment="1" applyProtection="1">
      <alignment/>
      <protection/>
    </xf>
    <xf numFmtId="171" fontId="57" fillId="0" borderId="0" xfId="42" applyNumberFormat="1" applyFont="1" applyAlignment="1">
      <alignment/>
    </xf>
    <xf numFmtId="171" fontId="58" fillId="0" borderId="0" xfId="42" applyNumberFormat="1" applyFont="1" applyAlignment="1" applyProtection="1">
      <alignment horizontal="fill"/>
      <protection/>
    </xf>
    <xf numFmtId="171" fontId="5" fillId="0" borderId="0" xfId="42" applyNumberFormat="1" applyFont="1" applyFill="1" applyBorder="1" applyAlignment="1">
      <alignment/>
    </xf>
    <xf numFmtId="171" fontId="4" fillId="0" borderId="11" xfId="42" applyNumberFormat="1" applyFont="1" applyBorder="1" applyAlignment="1">
      <alignment/>
    </xf>
    <xf numFmtId="171" fontId="4" fillId="0" borderId="0" xfId="42" applyNumberFormat="1" applyFont="1" applyBorder="1" applyAlignment="1" applyProtection="1">
      <alignment horizontal="right"/>
      <protection/>
    </xf>
    <xf numFmtId="171" fontId="1" fillId="0" borderId="0" xfId="42" applyNumberFormat="1" applyFont="1" applyBorder="1" applyAlignment="1" applyProtection="1">
      <alignment horizontal="left"/>
      <protection/>
    </xf>
    <xf numFmtId="175" fontId="1" fillId="0" borderId="0" xfId="42" applyNumberFormat="1" applyFont="1" applyBorder="1" applyAlignment="1" applyProtection="1">
      <alignment/>
      <protection/>
    </xf>
    <xf numFmtId="175" fontId="4" fillId="0" borderId="0" xfId="42" applyNumberFormat="1" applyFont="1" applyBorder="1" applyAlignment="1" applyProtection="1">
      <alignment horizontal="left"/>
      <protection/>
    </xf>
    <xf numFmtId="175" fontId="4" fillId="0" borderId="0" xfId="42" applyNumberFormat="1" applyFont="1" applyBorder="1" applyAlignment="1">
      <alignment/>
    </xf>
    <xf numFmtId="171" fontId="1" fillId="0" borderId="0" xfId="42" applyNumberFormat="1" applyFont="1" applyBorder="1" applyAlignment="1" applyProtection="1">
      <alignment/>
      <protection/>
    </xf>
    <xf numFmtId="171" fontId="1" fillId="0" borderId="0" xfId="42" applyNumberFormat="1" applyFont="1" applyBorder="1" applyAlignment="1">
      <alignment/>
    </xf>
    <xf numFmtId="171" fontId="1" fillId="0" borderId="0" xfId="42" applyNumberFormat="1" applyFont="1" applyBorder="1" applyAlignment="1" applyProtection="1">
      <alignment horizontal="right"/>
      <protection/>
    </xf>
    <xf numFmtId="164" fontId="0" fillId="0" borderId="0" xfId="0" applyBorder="1" applyAlignment="1">
      <alignment/>
    </xf>
    <xf numFmtId="171" fontId="4" fillId="0" borderId="0" xfId="42" applyNumberFormat="1" applyFont="1" applyBorder="1" applyAlignment="1">
      <alignment horizontal="center"/>
    </xf>
    <xf numFmtId="164" fontId="4" fillId="0" borderId="0" xfId="0" applyFont="1" applyBorder="1" applyAlignment="1">
      <alignment/>
    </xf>
    <xf numFmtId="164" fontId="0" fillId="0" borderId="0" xfId="0" applyBorder="1" applyAlignment="1">
      <alignment/>
    </xf>
    <xf numFmtId="171" fontId="4" fillId="0" borderId="11" xfId="42" applyNumberFormat="1" applyFont="1" applyBorder="1" applyAlignment="1">
      <alignment horizontal="center"/>
    </xf>
    <xf numFmtId="171" fontId="4" fillId="0" borderId="0" xfId="42" applyNumberFormat="1" applyFont="1" applyBorder="1" applyAlignment="1" applyProtection="1">
      <alignment horizontal="center"/>
      <protection/>
    </xf>
    <xf numFmtId="164" fontId="0" fillId="0" borderId="0" xfId="0" applyBorder="1" applyAlignment="1">
      <alignment horizontal="center"/>
    </xf>
    <xf numFmtId="171" fontId="6" fillId="0" borderId="0" xfId="42" applyNumberFormat="1" applyFont="1" applyBorder="1" applyAlignment="1" applyProtection="1">
      <alignment horizontal="left"/>
      <protection locked="0"/>
    </xf>
    <xf numFmtId="171" fontId="4" fillId="0" borderId="11" xfId="42" applyNumberFormat="1" applyFont="1" applyBorder="1" applyAlignment="1">
      <alignment horizontal="right"/>
    </xf>
    <xf numFmtId="171" fontId="4" fillId="0" borderId="0" xfId="42" applyNumberFormat="1" applyFont="1" applyBorder="1" applyAlignment="1">
      <alignment horizontal="right"/>
    </xf>
    <xf numFmtId="171" fontId="1" fillId="0" borderId="0" xfId="42" applyNumberFormat="1" applyFont="1" applyBorder="1" applyAlignment="1">
      <alignment horizontal="right"/>
    </xf>
    <xf numFmtId="171" fontId="1" fillId="0" borderId="12" xfId="42" applyNumberFormat="1" applyFont="1" applyBorder="1" applyAlignment="1" applyProtection="1">
      <alignment horizontal="left"/>
      <protection/>
    </xf>
    <xf numFmtId="171" fontId="4" fillId="0" borderId="11" xfId="42" applyNumberFormat="1" applyFont="1" applyBorder="1" applyAlignment="1" applyProtection="1">
      <alignment horizontal="left"/>
      <protection/>
    </xf>
    <xf numFmtId="171" fontId="6" fillId="0" borderId="0" xfId="42" applyNumberFormat="1" applyFont="1" applyBorder="1" applyAlignment="1" applyProtection="1">
      <alignment/>
      <protection locked="0"/>
    </xf>
    <xf numFmtId="171" fontId="1" fillId="0" borderId="0" xfId="42" applyNumberFormat="1" applyFont="1" applyBorder="1" applyAlignment="1" applyProtection="1">
      <alignment horizontal="center"/>
      <protection/>
    </xf>
    <xf numFmtId="171" fontId="4" fillId="0" borderId="12" xfId="42" applyNumberFormat="1" applyFont="1" applyBorder="1" applyAlignment="1" applyProtection="1">
      <alignment horizontal="left"/>
      <protection/>
    </xf>
    <xf numFmtId="10" fontId="6" fillId="0" borderId="0" xfId="57" applyNumberFormat="1" applyFont="1" applyBorder="1" applyAlignment="1" applyProtection="1">
      <alignment/>
      <protection locked="0"/>
    </xf>
    <xf numFmtId="171" fontId="4" fillId="0" borderId="12" xfId="42" applyNumberFormat="1" applyFont="1" applyBorder="1" applyAlignment="1">
      <alignment/>
    </xf>
    <xf numFmtId="171" fontId="6" fillId="0" borderId="11" xfId="42" applyNumberFormat="1" applyFont="1" applyBorder="1" applyAlignment="1" applyProtection="1">
      <alignment horizontal="left"/>
      <protection locked="0"/>
    </xf>
    <xf numFmtId="175" fontId="6" fillId="0" borderId="0" xfId="42" applyNumberFormat="1" applyFont="1" applyBorder="1" applyAlignment="1" applyProtection="1">
      <alignment horizontal="right"/>
      <protection locked="0"/>
    </xf>
    <xf numFmtId="171" fontId="59" fillId="0" borderId="0" xfId="42" applyNumberFormat="1" applyFont="1" applyBorder="1" applyAlignment="1" applyProtection="1">
      <alignment/>
      <protection locked="0"/>
    </xf>
    <xf numFmtId="171" fontId="59" fillId="0" borderId="0" xfId="42" applyNumberFormat="1" applyFont="1" applyBorder="1" applyAlignment="1">
      <alignment/>
    </xf>
    <xf numFmtId="171" fontId="4" fillId="0" borderId="11" xfId="42" applyNumberFormat="1" applyFont="1" applyFill="1" applyBorder="1" applyAlignment="1">
      <alignment/>
    </xf>
    <xf numFmtId="171" fontId="6" fillId="0" borderId="0" xfId="42" applyNumberFormat="1" applyFont="1" applyFill="1" applyBorder="1" applyAlignment="1" applyProtection="1">
      <alignment/>
      <protection locked="0"/>
    </xf>
    <xf numFmtId="171" fontId="4" fillId="0" borderId="0" xfId="42" applyNumberFormat="1" applyFont="1" applyFill="1" applyBorder="1" applyAlignment="1" applyProtection="1">
      <alignment/>
      <protection/>
    </xf>
    <xf numFmtId="171" fontId="59" fillId="0" borderId="0" xfId="42" applyNumberFormat="1" applyFont="1" applyFill="1" applyBorder="1" applyAlignment="1" applyProtection="1">
      <alignment/>
      <protection locked="0"/>
    </xf>
    <xf numFmtId="171" fontId="4" fillId="0" borderId="11" xfId="42" applyNumberFormat="1" applyFont="1" applyBorder="1" applyAlignment="1" applyProtection="1">
      <alignment horizontal="left"/>
      <protection locked="0"/>
    </xf>
    <xf numFmtId="172" fontId="6" fillId="0" borderId="0" xfId="42" applyNumberFormat="1" applyFont="1" applyBorder="1" applyAlignment="1" applyProtection="1" quotePrefix="1">
      <alignment/>
      <protection locked="0"/>
    </xf>
    <xf numFmtId="173" fontId="6" fillId="0" borderId="0" xfId="42" applyNumberFormat="1" applyFont="1" applyBorder="1" applyAlignment="1" applyProtection="1">
      <alignment/>
      <protection locked="0"/>
    </xf>
    <xf numFmtId="171" fontId="4" fillId="0" borderId="0" xfId="42" applyNumberFormat="1" applyFont="1" applyBorder="1" applyAlignment="1" applyProtection="1">
      <alignment/>
      <protection locked="0"/>
    </xf>
    <xf numFmtId="174" fontId="4" fillId="0" borderId="0" xfId="42" applyNumberFormat="1" applyFont="1" applyFill="1" applyBorder="1" applyAlignment="1" applyProtection="1">
      <alignment/>
      <protection/>
    </xf>
    <xf numFmtId="174" fontId="4" fillId="0" borderId="0" xfId="42" applyNumberFormat="1" applyFont="1" applyFill="1" applyBorder="1" applyAlignment="1">
      <alignment/>
    </xf>
    <xf numFmtId="175" fontId="6" fillId="0" borderId="0" xfId="57" applyNumberFormat="1" applyFont="1" applyBorder="1" applyAlignment="1" applyProtection="1">
      <alignment/>
      <protection locked="0"/>
    </xf>
    <xf numFmtId="174" fontId="4" fillId="0" borderId="0" xfId="42" applyNumberFormat="1" applyFont="1" applyBorder="1" applyAlignment="1">
      <alignment/>
    </xf>
    <xf numFmtId="175" fontId="6" fillId="0" borderId="0" xfId="42" applyNumberFormat="1" applyFont="1" applyBorder="1" applyAlignment="1" applyProtection="1">
      <alignment/>
      <protection locked="0"/>
    </xf>
    <xf numFmtId="164" fontId="4" fillId="0" borderId="11" xfId="0" applyFont="1" applyBorder="1" applyAlignment="1">
      <alignment/>
    </xf>
    <xf numFmtId="175" fontId="6" fillId="0" borderId="0" xfId="42" applyNumberFormat="1" applyFont="1" applyBorder="1" applyAlignment="1" applyProtection="1">
      <alignment/>
      <protection/>
    </xf>
    <xf numFmtId="3" fontId="4" fillId="0" borderId="0" xfId="42" applyNumberFormat="1" applyFont="1" applyBorder="1" applyAlignment="1" applyProtection="1">
      <alignment/>
      <protection/>
    </xf>
    <xf numFmtId="3" fontId="4" fillId="0" borderId="0" xfId="42" applyNumberFormat="1" applyFont="1" applyBorder="1" applyAlignment="1" applyProtection="1">
      <alignment horizontal="left"/>
      <protection/>
    </xf>
    <xf numFmtId="3" fontId="4" fillId="0" borderId="0" xfId="42" applyNumberFormat="1" applyFont="1" applyBorder="1" applyAlignment="1">
      <alignment/>
    </xf>
    <xf numFmtId="3" fontId="4" fillId="0" borderId="0" xfId="57" applyNumberFormat="1" applyFont="1" applyBorder="1" applyAlignment="1" applyProtection="1">
      <alignment/>
      <protection/>
    </xf>
    <xf numFmtId="171" fontId="4" fillId="0" borderId="11" xfId="42" applyNumberFormat="1" applyFont="1" applyBorder="1" applyAlignment="1" applyProtection="1" quotePrefix="1">
      <alignment horizontal="left"/>
      <protection/>
    </xf>
    <xf numFmtId="10" fontId="4" fillId="0" borderId="0" xfId="57" applyNumberFormat="1" applyFont="1" applyBorder="1" applyAlignment="1">
      <alignment/>
    </xf>
    <xf numFmtId="171" fontId="58" fillId="0" borderId="11" xfId="42" applyNumberFormat="1" applyFont="1" applyBorder="1" applyAlignment="1" applyProtection="1">
      <alignment horizontal="left"/>
      <protection/>
    </xf>
    <xf numFmtId="171" fontId="58" fillId="0" borderId="0" xfId="42" applyNumberFormat="1" applyFont="1" applyBorder="1" applyAlignment="1" applyProtection="1">
      <alignment horizontal="left"/>
      <protection/>
    </xf>
    <xf numFmtId="171" fontId="58" fillId="0" borderId="0" xfId="42" applyNumberFormat="1" applyFont="1" applyBorder="1" applyAlignment="1">
      <alignment/>
    </xf>
    <xf numFmtId="171" fontId="60" fillId="0" borderId="0" xfId="42" applyNumberFormat="1" applyFont="1" applyBorder="1" applyAlignment="1">
      <alignment/>
    </xf>
    <xf numFmtId="9" fontId="6" fillId="0" borderId="0" xfId="57" applyFont="1" applyBorder="1" applyAlignment="1" applyProtection="1">
      <alignment/>
      <protection locked="0"/>
    </xf>
    <xf numFmtId="9" fontId="4" fillId="0" borderId="0" xfId="57" applyFont="1" applyBorder="1" applyAlignment="1">
      <alignment/>
    </xf>
    <xf numFmtId="171" fontId="9" fillId="0" borderId="11" xfId="42" applyNumberFormat="1" applyFont="1" applyBorder="1" applyAlignment="1" applyProtection="1">
      <alignment horizontal="left"/>
      <protection/>
    </xf>
    <xf numFmtId="171" fontId="9" fillId="0" borderId="0" xfId="42" applyNumberFormat="1" applyFont="1" applyBorder="1" applyAlignment="1" applyProtection="1">
      <alignment horizontal="left"/>
      <protection/>
    </xf>
    <xf numFmtId="171" fontId="9" fillId="0" borderId="0" xfId="42" applyNumberFormat="1" applyFont="1" applyBorder="1" applyAlignment="1">
      <alignment/>
    </xf>
    <xf numFmtId="171" fontId="9" fillId="0" borderId="0" xfId="42" applyNumberFormat="1" applyFont="1" applyBorder="1" applyAlignment="1" applyProtection="1">
      <alignment/>
      <protection/>
    </xf>
    <xf numFmtId="164" fontId="10" fillId="0" borderId="11" xfId="0" applyFont="1" applyBorder="1" applyAlignment="1">
      <alignment horizontal="justify"/>
    </xf>
    <xf numFmtId="164" fontId="4" fillId="0" borderId="0" xfId="0" applyFont="1" applyBorder="1" applyAlignment="1">
      <alignment/>
    </xf>
    <xf numFmtId="164" fontId="4" fillId="0" borderId="11" xfId="0" applyFont="1" applyBorder="1" applyAlignment="1">
      <alignment/>
    </xf>
    <xf numFmtId="164" fontId="10" fillId="0" borderId="0" xfId="0" applyFont="1" applyFill="1" applyBorder="1" applyAlignment="1">
      <alignment horizontal="justify"/>
    </xf>
    <xf numFmtId="164" fontId="10" fillId="0" borderId="0" xfId="0" applyFont="1" applyBorder="1" applyAlignment="1">
      <alignment horizontal="justify"/>
    </xf>
    <xf numFmtId="164" fontId="8" fillId="0" borderId="11" xfId="0" applyFont="1" applyBorder="1" applyAlignment="1">
      <alignment horizontal="justify"/>
    </xf>
    <xf numFmtId="164" fontId="9" fillId="0" borderId="0" xfId="0" applyFont="1" applyBorder="1" applyAlignment="1">
      <alignment/>
    </xf>
    <xf numFmtId="164" fontId="9" fillId="0" borderId="11" xfId="0" applyFont="1" applyBorder="1" applyAlignment="1">
      <alignment/>
    </xf>
    <xf numFmtId="164" fontId="9" fillId="0" borderId="11" xfId="0" applyFont="1" applyBorder="1" applyAlignment="1">
      <alignment horizontal="justify"/>
    </xf>
    <xf numFmtId="164" fontId="4" fillId="0" borderId="11" xfId="0" applyFont="1" applyBorder="1" applyAlignment="1">
      <alignment horizontal="justify"/>
    </xf>
    <xf numFmtId="171" fontId="1" fillId="32" borderId="11" xfId="42" applyNumberFormat="1" applyFont="1" applyFill="1" applyBorder="1" applyAlignment="1">
      <alignment horizontal="left" wrapText="1"/>
    </xf>
    <xf numFmtId="171" fontId="1" fillId="32" borderId="0" xfId="42" applyNumberFormat="1" applyFont="1" applyFill="1" applyBorder="1" applyAlignment="1">
      <alignment horizontal="left" wrapText="1"/>
    </xf>
    <xf numFmtId="171" fontId="4" fillId="0" borderId="0" xfId="42" applyNumberFormat="1" applyFont="1" applyBorder="1" applyAlignment="1" applyProtection="1" quotePrefix="1">
      <alignment horizontal="fill"/>
      <protection/>
    </xf>
    <xf numFmtId="171" fontId="1" fillId="33" borderId="0" xfId="42" applyNumberFormat="1" applyFont="1" applyFill="1" applyBorder="1" applyAlignment="1" applyProtection="1">
      <alignment horizontal="left"/>
      <protection/>
    </xf>
    <xf numFmtId="171" fontId="4" fillId="33" borderId="0" xfId="42" applyNumberFormat="1" applyFont="1" applyFill="1" applyBorder="1" applyAlignment="1">
      <alignment/>
    </xf>
    <xf numFmtId="171" fontId="4" fillId="33" borderId="0" xfId="42" applyNumberFormat="1" applyFont="1" applyFill="1" applyBorder="1" applyAlignment="1" applyProtection="1">
      <alignment horizontal="left"/>
      <protection/>
    </xf>
    <xf numFmtId="171" fontId="7" fillId="0" borderId="11" xfId="42" applyNumberFormat="1" applyFont="1" applyBorder="1" applyAlignment="1">
      <alignment horizontal="left"/>
    </xf>
    <xf numFmtId="171" fontId="7" fillId="0" borderId="0" xfId="42" applyNumberFormat="1" applyFont="1" applyBorder="1" applyAlignment="1">
      <alignment horizontal="left"/>
    </xf>
    <xf numFmtId="171" fontId="1" fillId="33" borderId="11" xfId="42" applyNumberFormat="1" applyFont="1" applyFill="1" applyBorder="1" applyAlignment="1" applyProtection="1">
      <alignment horizontal="left"/>
      <protection locked="0"/>
    </xf>
    <xf numFmtId="171" fontId="4" fillId="33" borderId="0" xfId="42" applyNumberFormat="1" applyFont="1" applyFill="1" applyBorder="1" applyAlignment="1" applyProtection="1">
      <alignment horizontal="left"/>
      <protection locked="0"/>
    </xf>
    <xf numFmtId="171" fontId="1" fillId="33" borderId="0" xfId="42" applyNumberFormat="1" applyFont="1" applyFill="1" applyBorder="1" applyAlignment="1" applyProtection="1">
      <alignment/>
      <protection locked="0"/>
    </xf>
    <xf numFmtId="171" fontId="1" fillId="33" borderId="0" xfId="42" applyNumberFormat="1" applyFont="1" applyFill="1" applyBorder="1" applyAlignment="1">
      <alignment/>
    </xf>
    <xf numFmtId="175" fontId="6" fillId="0" borderId="10" xfId="42" applyNumberFormat="1" applyFont="1" applyBorder="1" applyAlignment="1" applyProtection="1">
      <alignment/>
      <protection locked="0"/>
    </xf>
    <xf numFmtId="164" fontId="35" fillId="0" borderId="11" xfId="0" applyFont="1" applyBorder="1" applyAlignment="1">
      <alignment horizontal="left"/>
    </xf>
    <xf numFmtId="164" fontId="35" fillId="0" borderId="0" xfId="0" applyFont="1" applyBorder="1" applyAlignment="1">
      <alignment horizontal="left"/>
    </xf>
    <xf numFmtId="171" fontId="35" fillId="0" borderId="11" xfId="42" applyNumberFormat="1" applyFont="1" applyBorder="1" applyAlignment="1" applyProtection="1">
      <alignment horizontal="left"/>
      <protection/>
    </xf>
    <xf numFmtId="171" fontId="35" fillId="0" borderId="0" xfId="42" applyNumberFormat="1" applyFont="1" applyBorder="1" applyAlignment="1" applyProtection="1">
      <alignment horizontal="left"/>
      <protection/>
    </xf>
    <xf numFmtId="171" fontId="61" fillId="0" borderId="0" xfId="42" applyNumberFormat="1" applyFont="1" applyAlignment="1">
      <alignment/>
    </xf>
    <xf numFmtId="171" fontId="62" fillId="0" borderId="0" xfId="42" applyNumberFormat="1" applyFont="1" applyAlignment="1">
      <alignment/>
    </xf>
    <xf numFmtId="171" fontId="63" fillId="0" borderId="0" xfId="42" applyNumberFormat="1" applyFont="1" applyAlignment="1">
      <alignment horizontal="right"/>
    </xf>
    <xf numFmtId="171" fontId="62" fillId="0" borderId="0" xfId="42" applyNumberFormat="1" applyFont="1" applyAlignment="1" applyProtection="1">
      <alignment/>
      <protection locked="0"/>
    </xf>
    <xf numFmtId="171" fontId="63" fillId="0" borderId="0" xfId="42" applyNumberFormat="1" applyFont="1" applyAlignment="1">
      <alignment/>
    </xf>
    <xf numFmtId="9" fontId="62" fillId="0" borderId="0" xfId="42" applyNumberFormat="1" applyFont="1" applyAlignment="1">
      <alignment/>
    </xf>
    <xf numFmtId="171" fontId="62" fillId="0" borderId="0" xfId="42" applyNumberFormat="1" applyFont="1" applyAlignment="1">
      <alignment horizontal="right"/>
    </xf>
    <xf numFmtId="175" fontId="62" fillId="0" borderId="0" xfId="42" applyNumberFormat="1" applyFont="1" applyAlignment="1">
      <alignment/>
    </xf>
    <xf numFmtId="171" fontId="63" fillId="0" borderId="0" xfId="42" applyNumberFormat="1" applyFont="1" applyAlignment="1" quotePrefix="1">
      <alignment horizontal="righ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ransitionEvaluation="1" transitionEntry="1"/>
  <dimension ref="A1:AP301"/>
  <sheetViews>
    <sheetView tabSelected="1" zoomScalePageLayoutView="0" workbookViewId="0" topLeftCell="A1">
      <selection activeCell="C277" sqref="C277"/>
    </sheetView>
  </sheetViews>
  <sheetFormatPr defaultColWidth="8.75390625" defaultRowHeight="12.75"/>
  <cols>
    <col min="1" max="1" width="4.625" style="3" customWidth="1"/>
    <col min="2" max="2" width="14.875" style="3" customWidth="1"/>
    <col min="3" max="3" width="13.00390625" style="3" customWidth="1"/>
    <col min="4" max="4" width="9.125" style="3" customWidth="1"/>
    <col min="5" max="6" width="10.375" style="3" customWidth="1"/>
    <col min="7" max="7" width="10.00390625" style="3" customWidth="1"/>
    <col min="8" max="9" width="10.25390625" style="3" customWidth="1"/>
    <col min="10" max="10" width="10.125" style="3" customWidth="1"/>
    <col min="11" max="11" width="9.25390625" style="3" customWidth="1"/>
    <col min="12" max="12" width="11.125" style="3" customWidth="1"/>
    <col min="13" max="14" width="8.875" style="3" customWidth="1"/>
    <col min="15" max="16384" width="8.75390625" style="3" customWidth="1"/>
  </cols>
  <sheetData>
    <row r="1" spans="2:18" ht="32.25" customHeight="1">
      <c r="B1" s="116" t="s">
        <v>123</v>
      </c>
      <c r="C1" s="117"/>
      <c r="D1" s="117"/>
      <c r="E1" s="117"/>
      <c r="F1" s="117"/>
      <c r="G1" s="117"/>
      <c r="H1" s="117"/>
      <c r="I1" s="117"/>
      <c r="J1" s="117"/>
      <c r="K1" s="117"/>
      <c r="L1" s="117"/>
      <c r="M1" s="30"/>
      <c r="N1" s="30"/>
      <c r="O1" s="27"/>
      <c r="P1" s="27"/>
      <c r="Q1" s="27"/>
      <c r="R1" s="27"/>
    </row>
    <row r="2" spans="2:14" ht="15.75">
      <c r="B2" s="131" t="s">
        <v>260</v>
      </c>
      <c r="C2" s="132"/>
      <c r="D2" s="132"/>
      <c r="E2" s="132"/>
      <c r="F2" s="132"/>
      <c r="G2" s="132"/>
      <c r="H2" s="132"/>
      <c r="I2" s="132"/>
      <c r="J2" s="132"/>
      <c r="K2" s="132"/>
      <c r="L2" s="132"/>
      <c r="M2" s="132"/>
      <c r="N2" s="132"/>
    </row>
    <row r="3" spans="2:14" ht="15.75">
      <c r="B3" s="131" t="s">
        <v>259</v>
      </c>
      <c r="C3" s="132"/>
      <c r="D3" s="132"/>
      <c r="E3" s="132"/>
      <c r="F3" s="132"/>
      <c r="G3" s="132"/>
      <c r="H3" s="132"/>
      <c r="I3" s="132"/>
      <c r="J3" s="132"/>
      <c r="K3" s="132"/>
      <c r="L3" s="132"/>
      <c r="M3" s="132"/>
      <c r="N3" s="132"/>
    </row>
    <row r="4" spans="2:14" ht="12.75">
      <c r="B4" s="44"/>
      <c r="C4" s="18"/>
      <c r="D4" s="18" t="s">
        <v>124</v>
      </c>
      <c r="E4" s="17"/>
      <c r="F4" s="17"/>
      <c r="G4" s="19">
        <f>E155</f>
        <v>2823004.1174799697</v>
      </c>
      <c r="H4" s="18" t="s">
        <v>32</v>
      </c>
      <c r="I4" s="18" t="s">
        <v>127</v>
      </c>
      <c r="J4" s="17"/>
      <c r="K4" s="17"/>
      <c r="L4" s="19">
        <f>E166</f>
        <v>4719107.158181866</v>
      </c>
      <c r="M4" s="18"/>
      <c r="N4" s="17"/>
    </row>
    <row r="5" spans="2:14" ht="12.75">
      <c r="B5" s="44"/>
      <c r="C5" s="18"/>
      <c r="D5" s="18" t="s">
        <v>125</v>
      </c>
      <c r="E5" s="17"/>
      <c r="F5" s="17"/>
      <c r="G5" s="19">
        <f>E156+E157</f>
        <v>103896.95929810457</v>
      </c>
      <c r="H5" s="18" t="s">
        <v>32</v>
      </c>
      <c r="I5" s="18" t="s">
        <v>128</v>
      </c>
      <c r="J5" s="17"/>
      <c r="K5" s="17"/>
      <c r="L5" s="19">
        <f>E161</f>
        <v>2000000</v>
      </c>
      <c r="M5" s="18"/>
      <c r="N5" s="17"/>
    </row>
    <row r="6" spans="2:14" ht="12.75">
      <c r="B6" s="44"/>
      <c r="C6" s="18"/>
      <c r="D6" s="17"/>
      <c r="E6" s="17"/>
      <c r="F6" s="17"/>
      <c r="G6" s="17"/>
      <c r="H6" s="18" t="s">
        <v>32</v>
      </c>
      <c r="I6" s="18" t="s">
        <v>129</v>
      </c>
      <c r="J6" s="17"/>
      <c r="K6" s="17"/>
      <c r="L6" s="19">
        <f>T214</f>
        <v>0</v>
      </c>
      <c r="M6" s="18"/>
      <c r="N6" s="17"/>
    </row>
    <row r="7" spans="2:14" ht="12.75">
      <c r="B7" s="44"/>
      <c r="C7" s="18"/>
      <c r="D7" s="17"/>
      <c r="E7" s="17"/>
      <c r="F7" s="17"/>
      <c r="G7" s="45" t="s">
        <v>30</v>
      </c>
      <c r="H7" s="18" t="s">
        <v>32</v>
      </c>
      <c r="I7" s="17"/>
      <c r="J7" s="17"/>
      <c r="K7" s="17"/>
      <c r="L7" s="118" t="s">
        <v>255</v>
      </c>
      <c r="M7" s="18"/>
      <c r="N7" s="17"/>
    </row>
    <row r="8" spans="2:14" ht="12.75">
      <c r="B8" s="44"/>
      <c r="C8" s="18"/>
      <c r="D8" s="18" t="s">
        <v>126</v>
      </c>
      <c r="E8" s="17"/>
      <c r="F8" s="17"/>
      <c r="G8" s="19">
        <f>G4-G5</f>
        <v>2719107.1581818652</v>
      </c>
      <c r="H8" s="18" t="s">
        <v>32</v>
      </c>
      <c r="I8" s="18" t="s">
        <v>98</v>
      </c>
      <c r="J8" s="17"/>
      <c r="K8" s="17"/>
      <c r="L8" s="19">
        <f>L4-L5-L6</f>
        <v>2719107.1581818657</v>
      </c>
      <c r="M8" s="18"/>
      <c r="N8" s="17"/>
    </row>
    <row r="9" spans="2:14" ht="14.25">
      <c r="B9" s="44"/>
      <c r="C9" s="18"/>
      <c r="D9" s="119" t="s">
        <v>261</v>
      </c>
      <c r="E9" s="127"/>
      <c r="F9" s="127"/>
      <c r="G9" s="120"/>
      <c r="H9" s="121" t="s">
        <v>32</v>
      </c>
      <c r="I9" s="119" t="s">
        <v>262</v>
      </c>
      <c r="J9" s="120"/>
      <c r="K9" s="120"/>
      <c r="L9" s="120"/>
      <c r="M9" s="18"/>
      <c r="N9" s="17"/>
    </row>
    <row r="10" spans="2:14" ht="12.75">
      <c r="B10" s="44"/>
      <c r="C10" s="18"/>
      <c r="D10" s="121" t="s">
        <v>216</v>
      </c>
      <c r="E10" s="120"/>
      <c r="F10" s="120"/>
      <c r="G10" s="120"/>
      <c r="H10" s="121" t="s">
        <v>32</v>
      </c>
      <c r="I10" s="121" t="s">
        <v>217</v>
      </c>
      <c r="J10" s="120"/>
      <c r="K10" s="120"/>
      <c r="L10" s="120"/>
      <c r="M10" s="18"/>
      <c r="N10" s="17"/>
    </row>
    <row r="11" spans="2:14" ht="12.75">
      <c r="B11" s="44"/>
      <c r="C11" s="18"/>
      <c r="D11" s="18" t="s">
        <v>130</v>
      </c>
      <c r="E11" s="17"/>
      <c r="F11" s="17"/>
      <c r="G11" s="19">
        <f>NPV(0.15/F44,F217:T217)</f>
        <v>1578805.9227458278</v>
      </c>
      <c r="H11" s="18" t="s">
        <v>32</v>
      </c>
      <c r="I11" s="18" t="s">
        <v>130</v>
      </c>
      <c r="J11" s="17"/>
      <c r="K11" s="17"/>
      <c r="L11" s="19">
        <f>NPV(0.15/F44,F218:T218)</f>
        <v>1688177.201443302</v>
      </c>
      <c r="M11" s="18"/>
      <c r="N11" s="17"/>
    </row>
    <row r="12" spans="2:14" ht="12.75">
      <c r="B12" s="44"/>
      <c r="C12" s="18"/>
      <c r="D12" s="18" t="s">
        <v>33</v>
      </c>
      <c r="E12" s="17"/>
      <c r="F12" s="17"/>
      <c r="G12" s="47">
        <f>IRR(F217:T217,0.2)*F44</f>
        <v>0.4522463674287769</v>
      </c>
      <c r="H12" s="18" t="s">
        <v>32</v>
      </c>
      <c r="I12" s="48" t="s">
        <v>33</v>
      </c>
      <c r="J12" s="49"/>
      <c r="K12" s="49"/>
      <c r="L12" s="47">
        <f>IRR(F218:T218,0.1)*F44</f>
        <v>0.6069017460535076</v>
      </c>
      <c r="M12" s="18"/>
      <c r="N12" s="17"/>
    </row>
    <row r="13" spans="2:14" ht="12.75">
      <c r="B13" s="44"/>
      <c r="C13" s="18"/>
      <c r="D13" s="17"/>
      <c r="E13" s="17"/>
      <c r="F13" s="17"/>
      <c r="G13" s="17"/>
      <c r="H13" s="18" t="s">
        <v>32</v>
      </c>
      <c r="I13" s="17"/>
      <c r="J13" s="17"/>
      <c r="K13" s="17"/>
      <c r="L13" s="17"/>
      <c r="M13" s="18"/>
      <c r="N13" s="17"/>
    </row>
    <row r="14" spans="2:14" ht="12.75">
      <c r="B14" s="44"/>
      <c r="C14" s="18"/>
      <c r="D14" s="17"/>
      <c r="E14" s="50" t="s">
        <v>131</v>
      </c>
      <c r="F14" s="51"/>
      <c r="G14" s="52" t="s">
        <v>132</v>
      </c>
      <c r="H14" s="46" t="s">
        <v>32</v>
      </c>
      <c r="I14" s="52" t="s">
        <v>131</v>
      </c>
      <c r="J14" s="46" t="s">
        <v>2</v>
      </c>
      <c r="K14" s="52" t="s">
        <v>89</v>
      </c>
      <c r="L14" s="52" t="s">
        <v>133</v>
      </c>
      <c r="M14" s="18"/>
      <c r="N14" s="17"/>
    </row>
    <row r="15" spans="2:14" ht="12.75">
      <c r="B15" s="44"/>
      <c r="C15" s="18"/>
      <c r="D15" s="17"/>
      <c r="E15" s="18" t="s">
        <v>34</v>
      </c>
      <c r="F15" s="17"/>
      <c r="G15" s="19">
        <f>F217</f>
        <v>-2518075</v>
      </c>
      <c r="H15" s="18" t="s">
        <v>32</v>
      </c>
      <c r="I15" s="45" t="s">
        <v>35</v>
      </c>
      <c r="J15" s="17"/>
      <c r="K15" s="19">
        <f>F161</f>
        <v>2000000</v>
      </c>
      <c r="L15" s="19">
        <f>F166</f>
        <v>481925</v>
      </c>
      <c r="M15" s="18"/>
      <c r="N15" s="17"/>
    </row>
    <row r="16" spans="2:14" ht="12.75">
      <c r="B16" s="44"/>
      <c r="C16" s="18"/>
      <c r="D16" s="17"/>
      <c r="E16" s="18" t="s">
        <v>36</v>
      </c>
      <c r="F16" s="17"/>
      <c r="G16" s="19">
        <f>G217</f>
        <v>-1356031</v>
      </c>
      <c r="H16" s="18" t="s">
        <v>32</v>
      </c>
      <c r="I16" s="45" t="s">
        <v>37</v>
      </c>
      <c r="J16" s="17"/>
      <c r="K16" s="19">
        <f>G161</f>
        <v>0</v>
      </c>
      <c r="L16" s="19">
        <f>G166</f>
        <v>-481924.9999999999</v>
      </c>
      <c r="M16" s="18"/>
      <c r="N16" s="17"/>
    </row>
    <row r="17" spans="2:14" ht="12.75">
      <c r="B17" s="44"/>
      <c r="C17" s="18"/>
      <c r="D17" s="17"/>
      <c r="E17" s="18" t="s">
        <v>38</v>
      </c>
      <c r="F17" s="17"/>
      <c r="G17" s="19">
        <f>H217</f>
        <v>-47721.52000000002</v>
      </c>
      <c r="H17" s="18" t="s">
        <v>32</v>
      </c>
      <c r="I17" s="45" t="s">
        <v>39</v>
      </c>
      <c r="J17" s="17"/>
      <c r="K17" s="19">
        <f>H161</f>
        <v>0</v>
      </c>
      <c r="L17" s="19">
        <f>H166</f>
        <v>0</v>
      </c>
      <c r="M17" s="18"/>
      <c r="N17" s="17"/>
    </row>
    <row r="18" spans="2:14" ht="12.75">
      <c r="B18" s="44"/>
      <c r="C18" s="18"/>
      <c r="D18" s="17"/>
      <c r="E18" s="18" t="s">
        <v>40</v>
      </c>
      <c r="F18" s="17"/>
      <c r="G18" s="19">
        <f>I217</f>
        <v>948822.0234800004</v>
      </c>
      <c r="H18" s="18" t="s">
        <v>32</v>
      </c>
      <c r="I18" s="45" t="s">
        <v>41</v>
      </c>
      <c r="J18" s="17"/>
      <c r="K18" s="19">
        <f>I161</f>
        <v>0</v>
      </c>
      <c r="L18" s="19">
        <f>I166</f>
        <v>0</v>
      </c>
      <c r="M18" s="18"/>
      <c r="N18" s="17"/>
    </row>
    <row r="19" spans="2:14" ht="12.75">
      <c r="B19" s="44"/>
      <c r="C19" s="18"/>
      <c r="D19" s="17"/>
      <c r="E19" s="18" t="s">
        <v>42</v>
      </c>
      <c r="F19" s="17"/>
      <c r="G19" s="19">
        <f>J217</f>
        <v>894698.4905467501</v>
      </c>
      <c r="H19" s="18" t="s">
        <v>32</v>
      </c>
      <c r="I19" s="45" t="s">
        <v>43</v>
      </c>
      <c r="J19" s="17"/>
      <c r="K19" s="19">
        <f>J161</f>
        <v>0</v>
      </c>
      <c r="L19" s="19">
        <f>J166</f>
        <v>0</v>
      </c>
      <c r="M19" s="18"/>
      <c r="N19" s="17"/>
    </row>
    <row r="20" spans="2:14" ht="12.75">
      <c r="B20" s="44"/>
      <c r="C20" s="18"/>
      <c r="D20" s="17"/>
      <c r="E20" s="18" t="s">
        <v>44</v>
      </c>
      <c r="F20" s="17"/>
      <c r="G20" s="19">
        <f>K217</f>
        <v>1174136.958830305</v>
      </c>
      <c r="H20" s="18" t="s">
        <v>32</v>
      </c>
      <c r="I20" s="45" t="s">
        <v>45</v>
      </c>
      <c r="J20" s="17"/>
      <c r="K20" s="19">
        <f>K161</f>
        <v>0</v>
      </c>
      <c r="L20" s="19">
        <f>K166</f>
        <v>991932.993558951</v>
      </c>
      <c r="M20" s="18"/>
      <c r="N20" s="17"/>
    </row>
    <row r="21" spans="2:14" ht="12.75">
      <c r="B21" s="44"/>
      <c r="C21" s="18"/>
      <c r="D21" s="17"/>
      <c r="E21" s="18" t="s">
        <v>46</v>
      </c>
      <c r="F21" s="17"/>
      <c r="G21" s="19">
        <f>L217</f>
        <v>1892619.5549183963</v>
      </c>
      <c r="H21" s="18" t="s">
        <v>32</v>
      </c>
      <c r="I21" s="45" t="s">
        <v>47</v>
      </c>
      <c r="J21" s="17"/>
      <c r="K21" s="19">
        <f>L161</f>
        <v>0</v>
      </c>
      <c r="L21" s="19">
        <f>L166</f>
        <v>1892619.5549183963</v>
      </c>
      <c r="M21" s="18"/>
      <c r="N21" s="17"/>
    </row>
    <row r="22" spans="2:14" ht="12.75">
      <c r="B22" s="44"/>
      <c r="C22" s="18"/>
      <c r="D22" s="17"/>
      <c r="E22" s="18" t="s">
        <v>48</v>
      </c>
      <c r="F22" s="17"/>
      <c r="G22" s="19">
        <f>M217</f>
        <v>888756.9662289007</v>
      </c>
      <c r="H22" s="18" t="s">
        <v>32</v>
      </c>
      <c r="I22" s="45" t="s">
        <v>49</v>
      </c>
      <c r="J22" s="17"/>
      <c r="K22" s="19">
        <f>M161</f>
        <v>0</v>
      </c>
      <c r="L22" s="19">
        <f>M166</f>
        <v>888756.9662289007</v>
      </c>
      <c r="M22" s="18"/>
      <c r="N22" s="17"/>
    </row>
    <row r="23" spans="2:14" ht="12.75">
      <c r="B23" s="44"/>
      <c r="C23" s="18"/>
      <c r="D23" s="17"/>
      <c r="E23" s="18" t="s">
        <v>50</v>
      </c>
      <c r="F23" s="17"/>
      <c r="G23" s="19">
        <f>N$217</f>
        <v>945797.6434756175</v>
      </c>
      <c r="H23" s="18" t="s">
        <v>32</v>
      </c>
      <c r="I23" s="45" t="s">
        <v>51</v>
      </c>
      <c r="J23" s="17"/>
      <c r="K23" s="19">
        <f>N161</f>
        <v>0</v>
      </c>
      <c r="L23" s="19">
        <f>N166</f>
        <v>945797.6434756175</v>
      </c>
      <c r="M23" s="18"/>
      <c r="N23" s="17"/>
    </row>
    <row r="24" spans="2:14" ht="12.75">
      <c r="B24" s="44"/>
      <c r="C24" s="18"/>
      <c r="D24" s="17"/>
      <c r="E24" s="18" t="s">
        <v>52</v>
      </c>
      <c r="F24" s="17"/>
      <c r="G24" s="19" t="s">
        <v>176</v>
      </c>
      <c r="H24" s="18" t="s">
        <v>32</v>
      </c>
      <c r="I24" s="45" t="s">
        <v>53</v>
      </c>
      <c r="J24" s="17"/>
      <c r="K24" s="19" t="s">
        <v>176</v>
      </c>
      <c r="L24" s="19" t="s">
        <v>176</v>
      </c>
      <c r="M24" s="18"/>
      <c r="N24" s="17"/>
    </row>
    <row r="25" spans="2:14" ht="12.75">
      <c r="B25" s="44"/>
      <c r="C25" s="18"/>
      <c r="D25" s="17"/>
      <c r="E25" s="18" t="s">
        <v>54</v>
      </c>
      <c r="F25" s="17"/>
      <c r="G25" s="19" t="s">
        <v>176</v>
      </c>
      <c r="H25" s="18" t="s">
        <v>32</v>
      </c>
      <c r="I25" s="45" t="s">
        <v>55</v>
      </c>
      <c r="J25" s="17"/>
      <c r="K25" s="19" t="s">
        <v>176</v>
      </c>
      <c r="L25" s="19" t="s">
        <v>176</v>
      </c>
      <c r="M25" s="18"/>
      <c r="N25" s="17"/>
    </row>
    <row r="26" spans="2:14" ht="12.75">
      <c r="B26" s="44"/>
      <c r="C26" s="18"/>
      <c r="D26" s="17"/>
      <c r="E26" s="18" t="s">
        <v>56</v>
      </c>
      <c r="F26" s="17"/>
      <c r="G26" s="19">
        <f>O217</f>
        <v>0</v>
      </c>
      <c r="H26" s="18" t="s">
        <v>32</v>
      </c>
      <c r="I26" s="45" t="s">
        <v>57</v>
      </c>
      <c r="J26" s="17"/>
      <c r="K26" s="19">
        <f>O161</f>
        <v>0</v>
      </c>
      <c r="L26" s="19">
        <f>O166</f>
        <v>0</v>
      </c>
      <c r="M26" s="18"/>
      <c r="N26" s="17"/>
    </row>
    <row r="27" spans="2:14" ht="12.75">
      <c r="B27" s="44"/>
      <c r="C27" s="18"/>
      <c r="D27" s="17"/>
      <c r="E27" s="18" t="s">
        <v>58</v>
      </c>
      <c r="F27" s="17"/>
      <c r="G27" s="19">
        <f>P217</f>
        <v>0</v>
      </c>
      <c r="H27" s="18" t="s">
        <v>32</v>
      </c>
      <c r="I27" s="45" t="s">
        <v>59</v>
      </c>
      <c r="J27" s="17"/>
      <c r="K27" s="19">
        <f>P161</f>
        <v>0</v>
      </c>
      <c r="L27" s="19">
        <f>P166</f>
        <v>0</v>
      </c>
      <c r="M27" s="18"/>
      <c r="N27" s="17"/>
    </row>
    <row r="28" spans="2:14" ht="12.75">
      <c r="B28" s="44"/>
      <c r="C28" s="18"/>
      <c r="D28" s="17"/>
      <c r="E28" s="18" t="s">
        <v>60</v>
      </c>
      <c r="F28" s="17"/>
      <c r="G28" s="19">
        <f>Q217</f>
        <v>0</v>
      </c>
      <c r="H28" s="18" t="s">
        <v>32</v>
      </c>
      <c r="I28" s="45" t="s">
        <v>61</v>
      </c>
      <c r="J28" s="17"/>
      <c r="K28" s="19">
        <f>Q161</f>
        <v>0</v>
      </c>
      <c r="L28" s="19">
        <f>Q166</f>
        <v>0</v>
      </c>
      <c r="M28" s="18"/>
      <c r="N28" s="17"/>
    </row>
    <row r="29" spans="2:14" ht="12.75">
      <c r="B29" s="44"/>
      <c r="C29" s="18"/>
      <c r="D29" s="17"/>
      <c r="E29" s="18" t="s">
        <v>62</v>
      </c>
      <c r="F29" s="17"/>
      <c r="G29" s="19">
        <f>R217</f>
        <v>0</v>
      </c>
      <c r="H29" s="18" t="s">
        <v>32</v>
      </c>
      <c r="I29" s="45" t="s">
        <v>63</v>
      </c>
      <c r="J29" s="17"/>
      <c r="K29" s="19">
        <f>R161</f>
        <v>0</v>
      </c>
      <c r="L29" s="19">
        <f>R166</f>
        <v>0</v>
      </c>
      <c r="M29" s="18"/>
      <c r="N29" s="17"/>
    </row>
    <row r="30" spans="2:14" ht="12.75">
      <c r="B30" s="44"/>
      <c r="C30" s="18"/>
      <c r="D30" s="17"/>
      <c r="E30" s="18" t="s">
        <v>64</v>
      </c>
      <c r="F30" s="17"/>
      <c r="G30" s="19">
        <f>S217</f>
        <v>0</v>
      </c>
      <c r="H30" s="18" t="s">
        <v>32</v>
      </c>
      <c r="I30" s="45" t="s">
        <v>65</v>
      </c>
      <c r="J30" s="17"/>
      <c r="K30" s="19">
        <f>S161</f>
        <v>0</v>
      </c>
      <c r="L30" s="19">
        <f>S166</f>
        <v>0</v>
      </c>
      <c r="M30" s="18"/>
      <c r="N30" s="17"/>
    </row>
    <row r="31" spans="2:14" ht="12.75">
      <c r="B31" s="44"/>
      <c r="C31" s="18"/>
      <c r="D31" s="17"/>
      <c r="E31" s="12" t="s">
        <v>66</v>
      </c>
      <c r="F31" s="15"/>
      <c r="G31" s="11">
        <f>T217</f>
        <v>0</v>
      </c>
      <c r="H31" s="12" t="s">
        <v>32</v>
      </c>
      <c r="I31" s="13" t="s">
        <v>67</v>
      </c>
      <c r="J31" s="15"/>
      <c r="K31" s="11">
        <f>T161</f>
        <v>0</v>
      </c>
      <c r="L31" s="11">
        <f>T166</f>
        <v>0</v>
      </c>
      <c r="M31" s="18"/>
      <c r="N31" s="17"/>
    </row>
    <row r="32" spans="2:14" ht="12.75">
      <c r="B32" s="44"/>
      <c r="C32" s="18"/>
      <c r="D32" s="18" t="s">
        <v>2</v>
      </c>
      <c r="E32" s="18" t="s">
        <v>104</v>
      </c>
      <c r="F32" s="17"/>
      <c r="G32" s="19">
        <f>E217</f>
        <v>2823004.1174799697</v>
      </c>
      <c r="H32" s="18" t="s">
        <v>32</v>
      </c>
      <c r="I32" s="58" t="s">
        <v>104</v>
      </c>
      <c r="J32" s="17"/>
      <c r="K32" s="19">
        <f>SUM(K15:K31)</f>
        <v>2000000</v>
      </c>
      <c r="L32" s="19">
        <f>SUM(L15:L31)</f>
        <v>4719107.158181866</v>
      </c>
      <c r="M32" s="18"/>
      <c r="N32" s="53"/>
    </row>
    <row r="33" spans="2:14" ht="12.75">
      <c r="B33" s="44"/>
      <c r="C33" s="18"/>
      <c r="D33" s="17"/>
      <c r="E33" s="17"/>
      <c r="F33" s="17"/>
      <c r="G33" s="17"/>
      <c r="H33" s="18" t="s">
        <v>32</v>
      </c>
      <c r="I33" s="54" t="s">
        <v>98</v>
      </c>
      <c r="J33" s="17"/>
      <c r="K33" s="17"/>
      <c r="L33" s="17">
        <f>L32-K32</f>
        <v>2719107.1581818657</v>
      </c>
      <c r="M33" s="18"/>
      <c r="N33" s="53"/>
    </row>
    <row r="34" spans="2:14" ht="12" customHeight="1">
      <c r="B34" s="44"/>
      <c r="C34" s="109" t="s">
        <v>230</v>
      </c>
      <c r="D34" s="107"/>
      <c r="E34" s="107"/>
      <c r="F34" s="107"/>
      <c r="G34" s="107"/>
      <c r="H34" s="107"/>
      <c r="I34" s="107"/>
      <c r="J34" s="107"/>
      <c r="K34" s="107"/>
      <c r="L34" s="107"/>
      <c r="M34" s="107"/>
      <c r="N34" s="17"/>
    </row>
    <row r="35" spans="2:14" ht="12" customHeight="1">
      <c r="B35" s="44"/>
      <c r="C35" s="107"/>
      <c r="D35" s="107"/>
      <c r="E35" s="107"/>
      <c r="F35" s="107"/>
      <c r="G35" s="107"/>
      <c r="H35" s="107"/>
      <c r="I35" s="107"/>
      <c r="J35" s="107"/>
      <c r="K35" s="107"/>
      <c r="L35" s="107"/>
      <c r="M35" s="107"/>
      <c r="N35" s="17"/>
    </row>
    <row r="36" spans="2:14" ht="12" customHeight="1">
      <c r="B36" s="44"/>
      <c r="C36" s="107"/>
      <c r="D36" s="107"/>
      <c r="E36" s="107"/>
      <c r="F36" s="107"/>
      <c r="G36" s="107"/>
      <c r="H36" s="107"/>
      <c r="I36" s="107"/>
      <c r="J36" s="107"/>
      <c r="K36" s="107"/>
      <c r="L36" s="107"/>
      <c r="M36" s="107"/>
      <c r="N36" s="17"/>
    </row>
    <row r="37" spans="2:14" ht="12" customHeight="1">
      <c r="B37" s="44"/>
      <c r="C37" s="110" t="s">
        <v>134</v>
      </c>
      <c r="D37" s="107"/>
      <c r="E37" s="107"/>
      <c r="F37" s="107"/>
      <c r="G37" s="107"/>
      <c r="H37" s="107"/>
      <c r="I37" s="107"/>
      <c r="J37" s="107"/>
      <c r="K37" s="107"/>
      <c r="L37" s="107"/>
      <c r="M37" s="107"/>
      <c r="N37" s="17"/>
    </row>
    <row r="38" spans="2:14" ht="12" customHeight="1">
      <c r="B38" s="44"/>
      <c r="C38" s="107"/>
      <c r="D38" s="107"/>
      <c r="E38" s="107"/>
      <c r="F38" s="107"/>
      <c r="G38" s="107"/>
      <c r="H38" s="107"/>
      <c r="I38" s="107"/>
      <c r="J38" s="107"/>
      <c r="K38" s="107"/>
      <c r="L38" s="107"/>
      <c r="M38" s="107"/>
      <c r="N38" s="17"/>
    </row>
    <row r="39" spans="2:14" ht="12" customHeight="1">
      <c r="B39" s="44"/>
      <c r="C39" s="107"/>
      <c r="D39" s="107"/>
      <c r="E39" s="107"/>
      <c r="F39" s="107"/>
      <c r="G39" s="107"/>
      <c r="H39" s="107"/>
      <c r="I39" s="107"/>
      <c r="J39" s="107"/>
      <c r="K39" s="107"/>
      <c r="L39" s="107"/>
      <c r="M39" s="107"/>
      <c r="N39" s="17"/>
    </row>
    <row r="40" spans="2:14" ht="12" customHeight="1">
      <c r="B40" s="44"/>
      <c r="C40" s="56"/>
      <c r="D40" s="56"/>
      <c r="E40" s="56"/>
      <c r="F40" s="56"/>
      <c r="G40" s="56"/>
      <c r="H40" s="56"/>
      <c r="I40" s="56"/>
      <c r="J40" s="56"/>
      <c r="K40" s="56"/>
      <c r="L40" s="56"/>
      <c r="M40" s="56"/>
      <c r="N40" s="17"/>
    </row>
    <row r="41" spans="2:14" ht="21.75" customHeight="1">
      <c r="B41" s="122" t="s">
        <v>207</v>
      </c>
      <c r="C41" s="123"/>
      <c r="D41" s="123"/>
      <c r="E41" s="123"/>
      <c r="F41" s="123"/>
      <c r="G41" s="123"/>
      <c r="H41" s="123"/>
      <c r="I41" s="123"/>
      <c r="J41" s="123"/>
      <c r="K41" s="123"/>
      <c r="L41" s="123"/>
      <c r="M41" s="123"/>
      <c r="N41" s="123"/>
    </row>
    <row r="42" spans="2:14" s="33" customFormat="1" ht="12.75">
      <c r="B42" s="57"/>
      <c r="C42" s="58"/>
      <c r="D42" s="59"/>
      <c r="E42" s="59"/>
      <c r="F42" s="59"/>
      <c r="G42" s="59"/>
      <c r="H42" s="59"/>
      <c r="I42" s="59"/>
      <c r="J42" s="59"/>
      <c r="K42" s="59"/>
      <c r="L42" s="59"/>
      <c r="M42" s="58"/>
      <c r="N42" s="54"/>
    </row>
    <row r="43" spans="2:14" ht="12.75">
      <c r="B43" s="44"/>
      <c r="C43" s="17"/>
      <c r="D43" s="17"/>
      <c r="E43" s="17"/>
      <c r="F43" s="17"/>
      <c r="G43" s="17"/>
      <c r="H43" s="17"/>
      <c r="I43" s="17"/>
      <c r="J43" s="17"/>
      <c r="K43" s="17"/>
      <c r="L43" s="17"/>
      <c r="M43" s="17"/>
      <c r="N43" s="17"/>
    </row>
    <row r="44" spans="1:28" ht="12.75">
      <c r="A44" s="3">
        <v>1</v>
      </c>
      <c r="B44" s="124" t="s">
        <v>135</v>
      </c>
      <c r="C44" s="125"/>
      <c r="D44" s="120"/>
      <c r="E44" s="120"/>
      <c r="F44" s="126">
        <v>4</v>
      </c>
      <c r="G44" s="119" t="s">
        <v>3</v>
      </c>
      <c r="H44" s="127"/>
      <c r="I44" s="120"/>
      <c r="J44" s="120"/>
      <c r="K44" s="120"/>
      <c r="L44" s="120"/>
      <c r="M44" s="120"/>
      <c r="N44" s="120"/>
      <c r="AB44" s="6" t="s">
        <v>2</v>
      </c>
    </row>
    <row r="45" spans="1:14" s="7" customFormat="1" ht="12.75">
      <c r="A45" s="7">
        <v>2</v>
      </c>
      <c r="B45" s="61"/>
      <c r="C45" s="62"/>
      <c r="D45" s="45"/>
      <c r="E45" s="45"/>
      <c r="F45" s="63" t="s">
        <v>114</v>
      </c>
      <c r="G45" s="63" t="s">
        <v>115</v>
      </c>
      <c r="H45" s="63" t="s">
        <v>116</v>
      </c>
      <c r="I45" s="63" t="s">
        <v>117</v>
      </c>
      <c r="J45" s="63" t="s">
        <v>118</v>
      </c>
      <c r="K45" s="63" t="s">
        <v>119</v>
      </c>
      <c r="L45" s="63" t="s">
        <v>120</v>
      </c>
      <c r="M45" s="63" t="s">
        <v>121</v>
      </c>
      <c r="N45" s="63" t="s">
        <v>122</v>
      </c>
    </row>
    <row r="46" spans="1:37" s="15" customFormat="1" ht="14.25">
      <c r="A46" s="17">
        <v>3</v>
      </c>
      <c r="B46" s="64" t="s">
        <v>264</v>
      </c>
      <c r="C46" s="12"/>
      <c r="E46" s="34" t="s">
        <v>104</v>
      </c>
      <c r="F46" s="35" t="s">
        <v>263</v>
      </c>
      <c r="G46" s="36">
        <v>1</v>
      </c>
      <c r="H46" s="36">
        <v>2</v>
      </c>
      <c r="I46" s="36">
        <v>3</v>
      </c>
      <c r="J46" s="36">
        <v>4</v>
      </c>
      <c r="K46" s="36">
        <v>5</v>
      </c>
      <c r="L46" s="36">
        <v>6</v>
      </c>
      <c r="M46" s="36">
        <v>7</v>
      </c>
      <c r="N46" s="36">
        <v>8</v>
      </c>
      <c r="O46" s="11"/>
      <c r="P46" s="19"/>
      <c r="Q46" s="19"/>
      <c r="R46" s="19"/>
      <c r="S46" s="19"/>
      <c r="T46" s="19"/>
      <c r="U46" s="17"/>
      <c r="V46" s="18"/>
      <c r="W46" s="17"/>
      <c r="X46" s="17"/>
      <c r="Y46" s="17"/>
      <c r="Z46" s="17"/>
      <c r="AA46" s="17"/>
      <c r="AB46" s="17"/>
      <c r="AC46" s="17"/>
      <c r="AD46" s="17"/>
      <c r="AE46" s="17"/>
      <c r="AF46" s="17"/>
      <c r="AG46" s="17"/>
      <c r="AH46" s="17"/>
      <c r="AI46" s="17"/>
      <c r="AJ46" s="17"/>
      <c r="AK46" s="17"/>
    </row>
    <row r="47" spans="1:25" ht="12.75">
      <c r="A47" s="3">
        <v>4</v>
      </c>
      <c r="B47" s="44" t="s">
        <v>110</v>
      </c>
      <c r="C47" s="17"/>
      <c r="D47" s="19"/>
      <c r="E47" s="19">
        <f>SUM(F47:T47)</f>
        <v>86</v>
      </c>
      <c r="F47" s="66"/>
      <c r="G47" s="66"/>
      <c r="H47" s="66">
        <v>20</v>
      </c>
      <c r="I47" s="66">
        <v>36</v>
      </c>
      <c r="J47" s="66">
        <v>30</v>
      </c>
      <c r="K47" s="66"/>
      <c r="L47" s="66"/>
      <c r="M47" s="66"/>
      <c r="N47" s="66"/>
      <c r="O47" s="2"/>
      <c r="P47" s="2"/>
      <c r="Q47" s="2"/>
      <c r="R47" s="2"/>
      <c r="S47" s="2"/>
      <c r="T47" s="2"/>
      <c r="U47" s="5"/>
      <c r="Y47" s="6" t="s">
        <v>2</v>
      </c>
    </row>
    <row r="48" spans="1:25" ht="12.75">
      <c r="A48" s="3">
        <v>5</v>
      </c>
      <c r="B48" s="44" t="s">
        <v>111</v>
      </c>
      <c r="C48" s="17"/>
      <c r="D48" s="19"/>
      <c r="E48" s="19">
        <f>SUM(F48:T48)</f>
        <v>52</v>
      </c>
      <c r="F48" s="66"/>
      <c r="G48" s="66"/>
      <c r="H48" s="66"/>
      <c r="I48" s="66"/>
      <c r="J48" s="66"/>
      <c r="K48" s="66">
        <v>27</v>
      </c>
      <c r="L48" s="66">
        <v>25</v>
      </c>
      <c r="M48" s="66"/>
      <c r="N48" s="66"/>
      <c r="O48" s="2"/>
      <c r="P48" s="2"/>
      <c r="Q48" s="2"/>
      <c r="R48" s="2"/>
      <c r="S48" s="2"/>
      <c r="T48" s="2"/>
      <c r="U48" s="5"/>
      <c r="Y48" s="6" t="s">
        <v>2</v>
      </c>
    </row>
    <row r="49" spans="1:25" ht="12.75">
      <c r="A49" s="3">
        <v>6</v>
      </c>
      <c r="B49" s="44" t="s">
        <v>112</v>
      </c>
      <c r="C49" s="17"/>
      <c r="D49" s="19"/>
      <c r="E49" s="19">
        <f>SUM(F49:T49)</f>
        <v>12</v>
      </c>
      <c r="F49" s="66"/>
      <c r="G49" s="66"/>
      <c r="H49" s="66"/>
      <c r="I49" s="66"/>
      <c r="J49" s="66"/>
      <c r="K49" s="66"/>
      <c r="L49" s="66">
        <v>12</v>
      </c>
      <c r="M49" s="66"/>
      <c r="N49" s="66"/>
      <c r="O49" s="2"/>
      <c r="P49" s="2"/>
      <c r="Q49" s="2"/>
      <c r="R49" s="2"/>
      <c r="S49" s="2"/>
      <c r="T49" s="2"/>
      <c r="U49" s="5"/>
      <c r="Y49" s="6" t="s">
        <v>2</v>
      </c>
    </row>
    <row r="50" spans="1:21" ht="12.75">
      <c r="A50" s="3">
        <v>7</v>
      </c>
      <c r="B50" s="44" t="s">
        <v>113</v>
      </c>
      <c r="C50" s="17"/>
      <c r="D50" s="19"/>
      <c r="E50" s="11">
        <f>SUM(F50:T50)</f>
        <v>30</v>
      </c>
      <c r="F50" s="14"/>
      <c r="G50" s="14"/>
      <c r="H50" s="14"/>
      <c r="I50" s="14"/>
      <c r="J50" s="14"/>
      <c r="K50" s="14"/>
      <c r="L50" s="14"/>
      <c r="M50" s="14">
        <v>15</v>
      </c>
      <c r="N50" s="14">
        <v>15</v>
      </c>
      <c r="O50" s="14"/>
      <c r="P50" s="2"/>
      <c r="Q50" s="2"/>
      <c r="R50" s="2"/>
      <c r="S50" s="2"/>
      <c r="T50" s="2"/>
      <c r="U50" s="5"/>
    </row>
    <row r="51" spans="1:21" ht="12.75">
      <c r="A51" s="3">
        <v>8</v>
      </c>
      <c r="B51" s="65" t="s">
        <v>136</v>
      </c>
      <c r="C51" s="18"/>
      <c r="D51" s="19"/>
      <c r="E51" s="19">
        <f>SUM(F51:T51)</f>
        <v>180</v>
      </c>
      <c r="F51" s="19">
        <f>SUM(F47:F50)</f>
        <v>0</v>
      </c>
      <c r="G51" s="19">
        <f>SUM(G47:G50)</f>
        <v>0</v>
      </c>
      <c r="H51" s="19">
        <f>SUM(H47:H50)</f>
        <v>20</v>
      </c>
      <c r="I51" s="19">
        <f>SUM(I47:I50)</f>
        <v>36</v>
      </c>
      <c r="J51" s="19">
        <f>SUM(J47:J50)</f>
        <v>30</v>
      </c>
      <c r="K51" s="19">
        <f>SUM(K47:K50)</f>
        <v>27</v>
      </c>
      <c r="L51" s="19">
        <f>SUM(L47:L50)</f>
        <v>37</v>
      </c>
      <c r="M51" s="19">
        <f>SUM(M47:M50)</f>
        <v>15</v>
      </c>
      <c r="N51" s="19">
        <f>SUM(N47:N50)</f>
        <v>15</v>
      </c>
      <c r="O51" s="5"/>
      <c r="P51" s="5"/>
      <c r="Q51" s="5"/>
      <c r="R51" s="5"/>
      <c r="S51" s="5"/>
      <c r="T51" s="5"/>
      <c r="U51" s="5">
        <v>0</v>
      </c>
    </row>
    <row r="52" spans="2:14" ht="12.75">
      <c r="B52" s="44"/>
      <c r="C52" s="17"/>
      <c r="D52" s="62"/>
      <c r="E52" s="17"/>
      <c r="F52" s="17"/>
      <c r="G52" s="17"/>
      <c r="H52" s="17"/>
      <c r="I52" s="17"/>
      <c r="J52" s="17"/>
      <c r="K52" s="17"/>
      <c r="L52" s="17"/>
      <c r="M52" s="17"/>
      <c r="N52" s="17"/>
    </row>
    <row r="53" spans="2:21" ht="12.75">
      <c r="B53" s="44"/>
      <c r="C53" s="17"/>
      <c r="D53" s="67" t="s">
        <v>199</v>
      </c>
      <c r="E53" s="45"/>
      <c r="F53" s="45"/>
      <c r="G53" s="17"/>
      <c r="H53" s="17"/>
      <c r="I53" s="17"/>
      <c r="J53" s="17"/>
      <c r="K53" s="17"/>
      <c r="L53" s="17"/>
      <c r="M53" s="17"/>
      <c r="N53" s="17"/>
      <c r="U53" s="5">
        <v>0</v>
      </c>
    </row>
    <row r="54" spans="1:21" s="15" customFormat="1" ht="14.25">
      <c r="A54" s="17">
        <v>9</v>
      </c>
      <c r="B54" s="68" t="s">
        <v>265</v>
      </c>
      <c r="C54" s="12"/>
      <c r="D54" s="34" t="s">
        <v>178</v>
      </c>
      <c r="E54" s="34" t="s">
        <v>266</v>
      </c>
      <c r="F54" s="34" t="s">
        <v>179</v>
      </c>
      <c r="G54" s="36">
        <v>1</v>
      </c>
      <c r="H54" s="36">
        <v>2</v>
      </c>
      <c r="I54" s="36">
        <v>3</v>
      </c>
      <c r="J54" s="36">
        <v>4</v>
      </c>
      <c r="K54" s="36">
        <v>5</v>
      </c>
      <c r="L54" s="36">
        <v>6</v>
      </c>
      <c r="M54" s="36">
        <v>7</v>
      </c>
      <c r="N54" s="36">
        <v>8</v>
      </c>
      <c r="O54" s="11"/>
      <c r="P54" s="11"/>
      <c r="Q54" s="11"/>
      <c r="R54" s="11"/>
      <c r="S54" s="11"/>
      <c r="T54" s="11"/>
      <c r="U54" s="11">
        <v>0</v>
      </c>
    </row>
    <row r="55" spans="1:21" ht="12.75">
      <c r="A55" s="3">
        <v>10</v>
      </c>
      <c r="B55" s="44" t="s">
        <v>68</v>
      </c>
      <c r="C55" s="17"/>
      <c r="D55" s="69">
        <v>0.0075</v>
      </c>
      <c r="E55" s="66">
        <v>0</v>
      </c>
      <c r="F55" s="66">
        <v>53140</v>
      </c>
      <c r="G55" s="19">
        <f aca="true" t="shared" si="0" ref="G55:N58">MAXA($E55*43.56,$F55)*(1+$D55)^(G$46-1)</f>
        <v>53140</v>
      </c>
      <c r="H55" s="19">
        <f t="shared" si="0"/>
        <v>53538.55</v>
      </c>
      <c r="I55" s="19">
        <f t="shared" si="0"/>
        <v>53940.08912500001</v>
      </c>
      <c r="J55" s="19">
        <f t="shared" si="0"/>
        <v>54344.63979343751</v>
      </c>
      <c r="K55" s="19">
        <f t="shared" si="0"/>
        <v>54752.2245918883</v>
      </c>
      <c r="L55" s="19">
        <f t="shared" si="0"/>
        <v>55162.86627632746</v>
      </c>
      <c r="M55" s="19">
        <f t="shared" si="0"/>
        <v>55576.58777339993</v>
      </c>
      <c r="N55" s="19">
        <f t="shared" si="0"/>
        <v>55993.41218170044</v>
      </c>
      <c r="O55" s="5"/>
      <c r="P55" s="5"/>
      <c r="Q55" s="5"/>
      <c r="R55" s="5"/>
      <c r="S55" s="5"/>
      <c r="T55" s="5"/>
      <c r="U55" s="5">
        <v>0</v>
      </c>
    </row>
    <row r="56" spans="1:21" ht="12.75">
      <c r="A56" s="3">
        <v>11</v>
      </c>
      <c r="B56" s="44" t="s">
        <v>69</v>
      </c>
      <c r="C56" s="17"/>
      <c r="D56" s="69">
        <v>0.0075</v>
      </c>
      <c r="E56" s="66">
        <v>0</v>
      </c>
      <c r="F56" s="66">
        <v>63688</v>
      </c>
      <c r="G56" s="19">
        <f t="shared" si="0"/>
        <v>63688</v>
      </c>
      <c r="H56" s="19">
        <f t="shared" si="0"/>
        <v>64165.66</v>
      </c>
      <c r="I56" s="19">
        <f t="shared" si="0"/>
        <v>64646.902450000016</v>
      </c>
      <c r="J56" s="19">
        <f t="shared" si="0"/>
        <v>65131.75421837502</v>
      </c>
      <c r="K56" s="19">
        <f t="shared" si="0"/>
        <v>65620.24237501284</v>
      </c>
      <c r="L56" s="19">
        <f t="shared" si="0"/>
        <v>66112.39419282544</v>
      </c>
      <c r="M56" s="19">
        <f t="shared" si="0"/>
        <v>66608.23714927163</v>
      </c>
      <c r="N56" s="19">
        <f t="shared" si="0"/>
        <v>67107.79892789118</v>
      </c>
      <c r="O56" s="5"/>
      <c r="P56" s="5"/>
      <c r="Q56" s="5"/>
      <c r="R56" s="5"/>
      <c r="S56" s="5"/>
      <c r="T56" s="5"/>
      <c r="U56" s="5">
        <v>0</v>
      </c>
    </row>
    <row r="57" spans="1:21" ht="12.75">
      <c r="A57" s="3">
        <v>12</v>
      </c>
      <c r="B57" s="44" t="s">
        <v>177</v>
      </c>
      <c r="C57" s="17"/>
      <c r="D57" s="69">
        <v>0.0075</v>
      </c>
      <c r="E57" s="66">
        <v>0</v>
      </c>
      <c r="F57" s="66">
        <v>63688</v>
      </c>
      <c r="G57" s="19">
        <f t="shared" si="0"/>
        <v>63688</v>
      </c>
      <c r="H57" s="19">
        <f t="shared" si="0"/>
        <v>64165.66</v>
      </c>
      <c r="I57" s="19">
        <f t="shared" si="0"/>
        <v>64646.902450000016</v>
      </c>
      <c r="J57" s="19">
        <f t="shared" si="0"/>
        <v>65131.75421837502</v>
      </c>
      <c r="K57" s="19">
        <f t="shared" si="0"/>
        <v>65620.24237501284</v>
      </c>
      <c r="L57" s="19">
        <f t="shared" si="0"/>
        <v>66112.39419282544</v>
      </c>
      <c r="M57" s="19">
        <f t="shared" si="0"/>
        <v>66608.23714927163</v>
      </c>
      <c r="N57" s="19">
        <f t="shared" si="0"/>
        <v>67107.79892789118</v>
      </c>
      <c r="O57" s="5"/>
      <c r="P57" s="5"/>
      <c r="Q57" s="5"/>
      <c r="R57" s="5"/>
      <c r="S57" s="5"/>
      <c r="T57" s="5"/>
      <c r="U57" s="5">
        <v>0</v>
      </c>
    </row>
    <row r="58" spans="1:21" ht="12.75">
      <c r="A58" s="3">
        <v>13</v>
      </c>
      <c r="B58" s="44" t="s">
        <v>71</v>
      </c>
      <c r="C58" s="17"/>
      <c r="D58" s="69">
        <v>0.0075</v>
      </c>
      <c r="E58" s="66">
        <v>0</v>
      </c>
      <c r="F58" s="66">
        <v>68000</v>
      </c>
      <c r="G58" s="19">
        <f t="shared" si="0"/>
        <v>68000</v>
      </c>
      <c r="H58" s="19">
        <f t="shared" si="0"/>
        <v>68510</v>
      </c>
      <c r="I58" s="19">
        <f t="shared" si="0"/>
        <v>69023.82500000001</v>
      </c>
      <c r="J58" s="19">
        <f t="shared" si="0"/>
        <v>69541.50368750002</v>
      </c>
      <c r="K58" s="19">
        <f t="shared" si="0"/>
        <v>70063.06496515627</v>
      </c>
      <c r="L58" s="19">
        <f t="shared" si="0"/>
        <v>70588.53795239494</v>
      </c>
      <c r="M58" s="19">
        <f t="shared" si="0"/>
        <v>71117.95198703793</v>
      </c>
      <c r="N58" s="19">
        <f t="shared" si="0"/>
        <v>71651.33662694071</v>
      </c>
      <c r="O58" s="5"/>
      <c r="P58" s="5"/>
      <c r="Q58" s="5"/>
      <c r="R58" s="5"/>
      <c r="S58" s="5"/>
      <c r="T58" s="5"/>
      <c r="U58" s="5">
        <v>0</v>
      </c>
    </row>
    <row r="59" spans="1:21" s="15" customFormat="1" ht="14.25">
      <c r="A59" s="17">
        <v>14</v>
      </c>
      <c r="B59" s="64" t="s">
        <v>267</v>
      </c>
      <c r="C59" s="12"/>
      <c r="D59" s="11"/>
      <c r="E59" s="34" t="s">
        <v>104</v>
      </c>
      <c r="F59" s="37">
        <v>0</v>
      </c>
      <c r="G59" s="36">
        <v>1</v>
      </c>
      <c r="H59" s="36">
        <v>2</v>
      </c>
      <c r="I59" s="36">
        <v>3</v>
      </c>
      <c r="J59" s="36">
        <v>4</v>
      </c>
      <c r="K59" s="36">
        <v>5</v>
      </c>
      <c r="L59" s="36">
        <v>6</v>
      </c>
      <c r="M59" s="36">
        <v>7</v>
      </c>
      <c r="N59" s="36">
        <v>8</v>
      </c>
      <c r="O59" s="11"/>
      <c r="P59" s="11"/>
      <c r="Q59" s="11"/>
      <c r="R59" s="11"/>
      <c r="S59" s="11"/>
      <c r="T59" s="11"/>
      <c r="U59" s="11">
        <v>0</v>
      </c>
    </row>
    <row r="60" spans="1:21" ht="12.75">
      <c r="A60" s="3">
        <v>15</v>
      </c>
      <c r="B60" s="44" t="s">
        <v>68</v>
      </c>
      <c r="C60" s="60"/>
      <c r="D60" s="19"/>
      <c r="E60" s="19">
        <f>SUM(F60:T60)</f>
        <v>4642953.402303126</v>
      </c>
      <c r="F60" s="19">
        <f>F47*F55</f>
        <v>0</v>
      </c>
      <c r="G60" s="19">
        <f>G47*G55</f>
        <v>0</v>
      </c>
      <c r="H60" s="19">
        <f>H47*H55</f>
        <v>1070771</v>
      </c>
      <c r="I60" s="19">
        <f>I47*I55</f>
        <v>1941843.2085000004</v>
      </c>
      <c r="J60" s="19">
        <f>J47*J55</f>
        <v>1630339.1938031253</v>
      </c>
      <c r="K60" s="19">
        <f>K47*K55</f>
        <v>0</v>
      </c>
      <c r="L60" s="19">
        <f>L47*L55</f>
        <v>0</v>
      </c>
      <c r="M60" s="19">
        <f>M47*M55</f>
        <v>0</v>
      </c>
      <c r="N60" s="19">
        <f>N47*N55</f>
        <v>0</v>
      </c>
      <c r="O60" s="5"/>
      <c r="P60" s="5"/>
      <c r="Q60" s="5"/>
      <c r="R60" s="5"/>
      <c r="S60" s="5"/>
      <c r="T60" s="5"/>
      <c r="U60" s="5">
        <v>0</v>
      </c>
    </row>
    <row r="61" spans="1:21" ht="12.75">
      <c r="A61" s="3">
        <v>16</v>
      </c>
      <c r="B61" s="44" t="s">
        <v>69</v>
      </c>
      <c r="C61" s="60"/>
      <c r="D61" s="19"/>
      <c r="E61" s="19">
        <f>SUM(F61:T61)</f>
        <v>3424556.3989459826</v>
      </c>
      <c r="F61" s="19">
        <f>F48*F56</f>
        <v>0</v>
      </c>
      <c r="G61" s="19">
        <f>G48*G56</f>
        <v>0</v>
      </c>
      <c r="H61" s="19">
        <f>H48*H56</f>
        <v>0</v>
      </c>
      <c r="I61" s="19">
        <f>I48*I56</f>
        <v>0</v>
      </c>
      <c r="J61" s="19">
        <f>J48*J56</f>
        <v>0</v>
      </c>
      <c r="K61" s="19">
        <f>K48*K56</f>
        <v>1771746.5441253465</v>
      </c>
      <c r="L61" s="19">
        <f>L48*L56</f>
        <v>1652809.8548206359</v>
      </c>
      <c r="M61" s="19">
        <f>M48*M56</f>
        <v>0</v>
      </c>
      <c r="N61" s="19">
        <f>N48*N56</f>
        <v>0</v>
      </c>
      <c r="O61" s="5"/>
      <c r="P61" s="5"/>
      <c r="Q61" s="5"/>
      <c r="R61" s="5"/>
      <c r="S61" s="5"/>
      <c r="T61" s="5"/>
      <c r="U61" s="5">
        <v>0</v>
      </c>
    </row>
    <row r="62" spans="1:21" ht="12.75">
      <c r="A62" s="3">
        <v>17</v>
      </c>
      <c r="B62" s="44" t="s">
        <v>177</v>
      </c>
      <c r="C62" s="60"/>
      <c r="D62" s="19"/>
      <c r="E62" s="19">
        <f>SUM(F62:T62)</f>
        <v>793348.7303139053</v>
      </c>
      <c r="F62" s="19">
        <f>F49*F57</f>
        <v>0</v>
      </c>
      <c r="G62" s="19">
        <f>G49*G57</f>
        <v>0</v>
      </c>
      <c r="H62" s="19">
        <f>H49*H57</f>
        <v>0</v>
      </c>
      <c r="I62" s="19">
        <f>I49*I57</f>
        <v>0</v>
      </c>
      <c r="J62" s="19">
        <f>J49*J57</f>
        <v>0</v>
      </c>
      <c r="K62" s="19">
        <f>K49*K57</f>
        <v>0</v>
      </c>
      <c r="L62" s="19">
        <f>L49*L57</f>
        <v>793348.7303139053</v>
      </c>
      <c r="M62" s="19">
        <f>M49*M57</f>
        <v>0</v>
      </c>
      <c r="N62" s="19">
        <f>N49*N57</f>
        <v>0</v>
      </c>
      <c r="O62" s="5"/>
      <c r="P62" s="5"/>
      <c r="Q62" s="5"/>
      <c r="R62" s="5"/>
      <c r="S62" s="5"/>
      <c r="T62" s="5"/>
      <c r="U62" s="5">
        <v>0</v>
      </c>
    </row>
    <row r="63" spans="1:21" s="15" customFormat="1" ht="12.75">
      <c r="A63" s="17">
        <v>18</v>
      </c>
      <c r="B63" s="70" t="s">
        <v>71</v>
      </c>
      <c r="C63" s="16"/>
      <c r="D63" s="11"/>
      <c r="E63" s="11">
        <f>SUM(F63:T63)</f>
        <v>2141539.3292096797</v>
      </c>
      <c r="F63" s="11">
        <f>F50*F58</f>
        <v>0</v>
      </c>
      <c r="G63" s="11">
        <f>G50*G58</f>
        <v>0</v>
      </c>
      <c r="H63" s="11">
        <f>H50*H58</f>
        <v>0</v>
      </c>
      <c r="I63" s="11">
        <f>I50*I58</f>
        <v>0</v>
      </c>
      <c r="J63" s="11">
        <f>J50*J58</f>
        <v>0</v>
      </c>
      <c r="K63" s="11">
        <f>K50*K58</f>
        <v>0</v>
      </c>
      <c r="L63" s="11">
        <f>L50*L58</f>
        <v>0</v>
      </c>
      <c r="M63" s="11">
        <f>M50*M58</f>
        <v>1066769.279805569</v>
      </c>
      <c r="N63" s="11">
        <f>N50*N58</f>
        <v>1074770.0494041108</v>
      </c>
      <c r="O63" s="11"/>
      <c r="P63" s="11"/>
      <c r="Q63" s="11"/>
      <c r="R63" s="11"/>
      <c r="S63" s="11"/>
      <c r="T63" s="11"/>
      <c r="U63" s="11">
        <v>0</v>
      </c>
    </row>
    <row r="64" spans="1:21" ht="12.75">
      <c r="A64" s="3">
        <v>19</v>
      </c>
      <c r="B64" s="65" t="s">
        <v>136</v>
      </c>
      <c r="C64" s="18"/>
      <c r="D64" s="19"/>
      <c r="E64" s="19">
        <f>SUM(F64:T64)</f>
        <v>11002397.860772694</v>
      </c>
      <c r="F64" s="19">
        <f>SUM(F60:F63)</f>
        <v>0</v>
      </c>
      <c r="G64" s="19">
        <f>SUM(G60:G63)</f>
        <v>0</v>
      </c>
      <c r="H64" s="19">
        <f>SUM(H60:H63)</f>
        <v>1070771</v>
      </c>
      <c r="I64" s="19">
        <f>SUM(I60:I63)</f>
        <v>1941843.2085000004</v>
      </c>
      <c r="J64" s="19">
        <f>SUM(J60:J63)</f>
        <v>1630339.1938031253</v>
      </c>
      <c r="K64" s="19">
        <f>SUM(K60:K63)</f>
        <v>1771746.5441253465</v>
      </c>
      <c r="L64" s="19">
        <f>SUM(L60:L63)</f>
        <v>2446158.585134541</v>
      </c>
      <c r="M64" s="19">
        <f>SUM(M60:M63)</f>
        <v>1066769.279805569</v>
      </c>
      <c r="N64" s="19">
        <f>SUM(N60:N63)</f>
        <v>1074770.0494041108</v>
      </c>
      <c r="O64" s="5"/>
      <c r="P64" s="5"/>
      <c r="Q64" s="5"/>
      <c r="R64" s="5"/>
      <c r="S64" s="5"/>
      <c r="T64" s="5"/>
      <c r="U64" s="5">
        <v>0</v>
      </c>
    </row>
    <row r="65" spans="2:14" ht="12.75">
      <c r="B65" s="44"/>
      <c r="C65" s="17"/>
      <c r="D65" s="19"/>
      <c r="E65" s="17"/>
      <c r="F65" s="17"/>
      <c r="G65" s="17"/>
      <c r="H65" s="17"/>
      <c r="I65" s="17"/>
      <c r="J65" s="17"/>
      <c r="K65" s="17"/>
      <c r="L65" s="17"/>
      <c r="M65" s="17"/>
      <c r="N65" s="17"/>
    </row>
    <row r="66" spans="1:20" s="15" customFormat="1" ht="14.25">
      <c r="A66" s="17">
        <v>20</v>
      </c>
      <c r="B66" s="64" t="s">
        <v>268</v>
      </c>
      <c r="C66" s="20"/>
      <c r="D66" s="20" t="s">
        <v>137</v>
      </c>
      <c r="E66" s="34" t="s">
        <v>104</v>
      </c>
      <c r="F66" s="38" t="s">
        <v>200</v>
      </c>
      <c r="G66" s="39">
        <v>1</v>
      </c>
      <c r="H66" s="39">
        <v>2</v>
      </c>
      <c r="I66" s="39">
        <v>3</v>
      </c>
      <c r="J66" s="39">
        <v>4</v>
      </c>
      <c r="K66" s="39">
        <v>5</v>
      </c>
      <c r="L66" s="39">
        <v>6</v>
      </c>
      <c r="M66" s="39">
        <v>7</v>
      </c>
      <c r="N66" s="39">
        <v>8</v>
      </c>
      <c r="O66" s="10"/>
      <c r="P66" s="10"/>
      <c r="Q66" s="10"/>
      <c r="R66" s="10"/>
      <c r="S66" s="10"/>
      <c r="T66" s="10"/>
    </row>
    <row r="67" spans="1:20" ht="12.75">
      <c r="A67" s="3">
        <v>21</v>
      </c>
      <c r="B67" s="71" t="s">
        <v>85</v>
      </c>
      <c r="C67" s="72"/>
      <c r="D67" s="66"/>
      <c r="E67" s="19">
        <f aca="true" t="shared" si="1" ref="E67:E82">SUM(F67:T67)</f>
        <v>2262000</v>
      </c>
      <c r="F67" s="66">
        <v>2262000</v>
      </c>
      <c r="G67" s="66"/>
      <c r="H67" s="66"/>
      <c r="I67" s="66"/>
      <c r="J67" s="66"/>
      <c r="K67" s="66"/>
      <c r="L67" s="66"/>
      <c r="M67" s="66"/>
      <c r="N67" s="66"/>
      <c r="O67" s="2"/>
      <c r="P67" s="2"/>
      <c r="Q67" s="2"/>
      <c r="R67" s="2"/>
      <c r="S67" s="2"/>
      <c r="T67" s="2"/>
    </row>
    <row r="68" spans="2:20" ht="12.75">
      <c r="B68" s="44"/>
      <c r="C68" s="17"/>
      <c r="D68" s="66"/>
      <c r="E68" s="19">
        <f t="shared" si="1"/>
        <v>0</v>
      </c>
      <c r="F68" s="66"/>
      <c r="G68" s="17"/>
      <c r="H68" s="17"/>
      <c r="I68" s="17"/>
      <c r="J68" s="17"/>
      <c r="K68" s="17"/>
      <c r="L68" s="17"/>
      <c r="M68" s="66"/>
      <c r="N68" s="66"/>
      <c r="O68" s="2"/>
      <c r="P68" s="2"/>
      <c r="Q68" s="2"/>
      <c r="R68" s="2"/>
      <c r="S68" s="2"/>
      <c r="T68" s="2"/>
    </row>
    <row r="69" spans="1:20" ht="12.75">
      <c r="A69" s="3">
        <v>22</v>
      </c>
      <c r="B69" s="44" t="s">
        <v>181</v>
      </c>
      <c r="C69" s="17">
        <v>223715</v>
      </c>
      <c r="D69" s="66"/>
      <c r="E69" s="19">
        <f t="shared" si="1"/>
        <v>210000</v>
      </c>
      <c r="F69" s="66"/>
      <c r="G69" s="73">
        <v>30000</v>
      </c>
      <c r="H69" s="73">
        <v>100000</v>
      </c>
      <c r="I69" s="73">
        <v>30000</v>
      </c>
      <c r="J69" s="73">
        <v>20000</v>
      </c>
      <c r="K69" s="73">
        <v>20000</v>
      </c>
      <c r="L69" s="73">
        <v>10000</v>
      </c>
      <c r="M69" s="73"/>
      <c r="N69" s="66"/>
      <c r="O69" s="2"/>
      <c r="P69" s="2"/>
      <c r="Q69" s="2"/>
      <c r="R69" s="2"/>
      <c r="S69" s="2"/>
      <c r="T69" s="2"/>
    </row>
    <row r="70" spans="1:20" ht="12.75">
      <c r="A70" s="3">
        <v>23</v>
      </c>
      <c r="B70" s="44" t="s">
        <v>180</v>
      </c>
      <c r="C70" s="17"/>
      <c r="D70" s="66"/>
      <c r="E70" s="19">
        <f t="shared" si="1"/>
        <v>600000</v>
      </c>
      <c r="F70" s="17"/>
      <c r="G70" s="73">
        <v>0</v>
      </c>
      <c r="H70" s="73">
        <v>200000</v>
      </c>
      <c r="I70" s="73">
        <v>200000</v>
      </c>
      <c r="J70" s="73">
        <v>100000</v>
      </c>
      <c r="K70" s="73">
        <v>50000</v>
      </c>
      <c r="L70" s="73">
        <v>50000</v>
      </c>
      <c r="M70" s="74"/>
      <c r="N70" s="66"/>
      <c r="O70" s="2"/>
      <c r="P70" s="2"/>
      <c r="Q70" s="2"/>
      <c r="R70" s="2"/>
      <c r="S70" s="2"/>
      <c r="T70" s="2"/>
    </row>
    <row r="71" spans="1:20" ht="12.75">
      <c r="A71" s="3">
        <v>24</v>
      </c>
      <c r="B71" s="44" t="s">
        <v>182</v>
      </c>
      <c r="C71" s="17"/>
      <c r="D71" s="66"/>
      <c r="E71" s="19">
        <f t="shared" si="1"/>
        <v>250000</v>
      </c>
      <c r="F71" s="17"/>
      <c r="G71" s="74">
        <v>50000</v>
      </c>
      <c r="H71" s="74">
        <v>100000</v>
      </c>
      <c r="I71" s="74">
        <v>50000</v>
      </c>
      <c r="J71" s="74">
        <v>20000</v>
      </c>
      <c r="K71" s="74">
        <v>20000</v>
      </c>
      <c r="L71" s="74">
        <v>10000</v>
      </c>
      <c r="M71" s="74"/>
      <c r="N71" s="66"/>
      <c r="O71" s="2"/>
      <c r="P71" s="2"/>
      <c r="Q71" s="2"/>
      <c r="R71" s="2"/>
      <c r="S71" s="2"/>
      <c r="T71" s="2"/>
    </row>
    <row r="72" spans="1:20" ht="12.75">
      <c r="A72" s="3">
        <v>25</v>
      </c>
      <c r="B72" s="44" t="s">
        <v>183</v>
      </c>
      <c r="C72" s="17"/>
      <c r="D72" s="66"/>
      <c r="E72" s="19">
        <f t="shared" si="1"/>
        <v>200000</v>
      </c>
      <c r="F72" s="17"/>
      <c r="G72" s="74">
        <v>20000</v>
      </c>
      <c r="H72" s="74">
        <v>100000</v>
      </c>
      <c r="I72" s="74">
        <v>20000</v>
      </c>
      <c r="J72" s="74">
        <v>20000</v>
      </c>
      <c r="K72" s="74">
        <v>20000</v>
      </c>
      <c r="L72" s="74">
        <v>20000</v>
      </c>
      <c r="M72" s="74"/>
      <c r="N72" s="66"/>
      <c r="O72" s="2"/>
      <c r="P72" s="2"/>
      <c r="Q72" s="2"/>
      <c r="R72" s="2"/>
      <c r="S72" s="2"/>
      <c r="T72" s="2"/>
    </row>
    <row r="73" spans="1:20" ht="12.75">
      <c r="A73" s="3">
        <v>26</v>
      </c>
      <c r="B73" s="44" t="s">
        <v>184</v>
      </c>
      <c r="C73" s="60"/>
      <c r="D73" s="66"/>
      <c r="E73" s="19">
        <f t="shared" si="1"/>
        <v>180000</v>
      </c>
      <c r="F73" s="66"/>
      <c r="G73" s="74">
        <v>60000</v>
      </c>
      <c r="H73" s="74">
        <v>60000</v>
      </c>
      <c r="I73" s="74">
        <v>30000</v>
      </c>
      <c r="J73" s="74">
        <v>10000</v>
      </c>
      <c r="K73" s="74">
        <v>10000</v>
      </c>
      <c r="L73" s="74">
        <v>10000</v>
      </c>
      <c r="M73" s="73"/>
      <c r="N73" s="66"/>
      <c r="O73" s="2"/>
      <c r="P73" s="2"/>
      <c r="Q73" s="2"/>
      <c r="R73" s="2"/>
      <c r="S73" s="2"/>
      <c r="T73" s="2"/>
    </row>
    <row r="74" spans="1:20" ht="12.75">
      <c r="A74" s="3">
        <v>27</v>
      </c>
      <c r="B74" s="44" t="s">
        <v>185</v>
      </c>
      <c r="C74" s="60"/>
      <c r="D74" s="66"/>
      <c r="E74" s="19">
        <f t="shared" si="1"/>
        <v>85000</v>
      </c>
      <c r="F74" s="66"/>
      <c r="G74" s="74">
        <v>20000</v>
      </c>
      <c r="H74" s="74">
        <v>20000</v>
      </c>
      <c r="I74" s="74">
        <v>20000</v>
      </c>
      <c r="J74" s="74">
        <v>10000</v>
      </c>
      <c r="K74" s="74">
        <v>10000</v>
      </c>
      <c r="L74" s="74">
        <v>5000</v>
      </c>
      <c r="M74" s="73"/>
      <c r="N74" s="66"/>
      <c r="O74" s="2"/>
      <c r="P74" s="2"/>
      <c r="Q74" s="2"/>
      <c r="R74" s="2"/>
      <c r="S74" s="2"/>
      <c r="T74" s="2"/>
    </row>
    <row r="75" spans="1:20" ht="12.75">
      <c r="A75" s="3">
        <v>28</v>
      </c>
      <c r="B75" s="44" t="s">
        <v>186</v>
      </c>
      <c r="C75" s="60"/>
      <c r="D75" s="66"/>
      <c r="E75" s="19">
        <f t="shared" si="1"/>
        <v>160000</v>
      </c>
      <c r="F75" s="66"/>
      <c r="G75" s="74">
        <v>20000</v>
      </c>
      <c r="H75" s="74">
        <v>60000</v>
      </c>
      <c r="I75" s="74">
        <v>60000</v>
      </c>
      <c r="J75" s="74">
        <v>10000</v>
      </c>
      <c r="K75" s="74">
        <v>5000</v>
      </c>
      <c r="L75" s="74">
        <v>5000</v>
      </c>
      <c r="M75" s="73"/>
      <c r="N75" s="66"/>
      <c r="O75" s="2"/>
      <c r="P75" s="2"/>
      <c r="Q75" s="2"/>
      <c r="R75" s="2"/>
      <c r="S75" s="2"/>
      <c r="T75" s="2"/>
    </row>
    <row r="76" spans="1:20" ht="12.75">
      <c r="A76" s="3">
        <v>29</v>
      </c>
      <c r="B76" s="44" t="s">
        <v>187</v>
      </c>
      <c r="C76" s="60"/>
      <c r="D76" s="66"/>
      <c r="E76" s="19">
        <f t="shared" si="1"/>
        <v>506031</v>
      </c>
      <c r="F76" s="66"/>
      <c r="G76" s="73">
        <v>506031</v>
      </c>
      <c r="H76" s="73">
        <v>0</v>
      </c>
      <c r="I76" s="73">
        <v>0</v>
      </c>
      <c r="J76" s="73">
        <v>0</v>
      </c>
      <c r="K76" s="73">
        <v>0</v>
      </c>
      <c r="L76" s="73">
        <v>0</v>
      </c>
      <c r="M76" s="73"/>
      <c r="N76" s="66"/>
      <c r="O76" s="2"/>
      <c r="P76" s="2"/>
      <c r="Q76" s="2"/>
      <c r="R76" s="2"/>
      <c r="S76" s="2"/>
      <c r="T76" s="2"/>
    </row>
    <row r="77" spans="1:20" ht="12.75">
      <c r="A77" s="3">
        <v>30</v>
      </c>
      <c r="B77" s="44" t="s">
        <v>188</v>
      </c>
      <c r="C77" s="17"/>
      <c r="D77" s="66"/>
      <c r="E77" s="19">
        <f t="shared" si="1"/>
        <v>850000</v>
      </c>
      <c r="F77" s="66"/>
      <c r="G77" s="73">
        <v>350000</v>
      </c>
      <c r="H77" s="73">
        <v>100000</v>
      </c>
      <c r="I77" s="73">
        <v>100000</v>
      </c>
      <c r="J77" s="73">
        <v>100000</v>
      </c>
      <c r="K77" s="73">
        <v>100000</v>
      </c>
      <c r="L77" s="73">
        <v>50000</v>
      </c>
      <c r="M77" s="73">
        <v>50000</v>
      </c>
      <c r="N77" s="66"/>
      <c r="O77" s="2"/>
      <c r="P77" s="2"/>
      <c r="Q77" s="2"/>
      <c r="R77" s="2"/>
      <c r="S77" s="2"/>
      <c r="T77" s="2"/>
    </row>
    <row r="78" spans="1:20" ht="12.75">
      <c r="A78" s="3">
        <v>31</v>
      </c>
      <c r="B78" s="44" t="s">
        <v>189</v>
      </c>
      <c r="C78" s="17"/>
      <c r="D78" s="66"/>
      <c r="E78" s="19">
        <f t="shared" si="1"/>
        <v>350000</v>
      </c>
      <c r="F78" s="66"/>
      <c r="G78" s="73">
        <v>100000</v>
      </c>
      <c r="H78" s="73">
        <v>50000</v>
      </c>
      <c r="I78" s="73">
        <v>50000</v>
      </c>
      <c r="J78" s="73">
        <v>50000</v>
      </c>
      <c r="K78" s="73">
        <v>50000</v>
      </c>
      <c r="L78" s="73">
        <v>50000</v>
      </c>
      <c r="M78" s="73">
        <v>0</v>
      </c>
      <c r="N78" s="66"/>
      <c r="O78" s="2"/>
      <c r="P78" s="2"/>
      <c r="Q78" s="2"/>
      <c r="R78" s="2"/>
      <c r="S78" s="2"/>
      <c r="T78" s="2"/>
    </row>
    <row r="79" spans="1:20" ht="12.75">
      <c r="A79" s="3">
        <v>32</v>
      </c>
      <c r="B79" s="75" t="s">
        <v>190</v>
      </c>
      <c r="C79" s="43"/>
      <c r="D79" s="76"/>
      <c r="E79" s="77">
        <f t="shared" si="1"/>
        <v>1050000</v>
      </c>
      <c r="F79" s="76">
        <v>100000</v>
      </c>
      <c r="G79" s="78">
        <v>200000</v>
      </c>
      <c r="H79" s="78">
        <v>200000</v>
      </c>
      <c r="I79" s="78">
        <v>200000</v>
      </c>
      <c r="J79" s="78">
        <v>200000</v>
      </c>
      <c r="K79" s="78">
        <v>100000</v>
      </c>
      <c r="L79" s="78">
        <v>50000</v>
      </c>
      <c r="M79" s="78"/>
      <c r="N79" s="76"/>
      <c r="O79" s="2"/>
      <c r="P79" s="2"/>
      <c r="Q79" s="2"/>
      <c r="R79" s="2"/>
      <c r="S79" s="2"/>
      <c r="T79" s="2"/>
    </row>
    <row r="80" spans="1:20" ht="12.75">
      <c r="A80" s="3">
        <v>33</v>
      </c>
      <c r="B80" s="44" t="s">
        <v>191</v>
      </c>
      <c r="C80" s="1"/>
      <c r="D80" s="66"/>
      <c r="E80" s="19">
        <f t="shared" si="1"/>
        <v>156075</v>
      </c>
      <c r="F80" s="66">
        <v>156075</v>
      </c>
      <c r="G80" s="73"/>
      <c r="H80" s="73"/>
      <c r="I80" s="73"/>
      <c r="J80" s="73"/>
      <c r="K80" s="73"/>
      <c r="L80" s="73"/>
      <c r="M80" s="73"/>
      <c r="N80" s="66"/>
      <c r="O80" s="2"/>
      <c r="P80" s="2"/>
      <c r="Q80" s="2"/>
      <c r="R80" s="2"/>
      <c r="S80" s="2"/>
      <c r="T80" s="2"/>
    </row>
    <row r="81" spans="2:21" ht="12.75">
      <c r="B81" s="44"/>
      <c r="C81" s="17"/>
      <c r="D81" s="66"/>
      <c r="E81" s="19">
        <f t="shared" si="1"/>
        <v>0</v>
      </c>
      <c r="F81" s="17"/>
      <c r="G81" s="17"/>
      <c r="H81" s="66"/>
      <c r="I81" s="66"/>
      <c r="J81" s="66"/>
      <c r="K81" s="66"/>
      <c r="L81" s="66"/>
      <c r="M81" s="66"/>
      <c r="N81" s="66"/>
      <c r="O81" s="2"/>
      <c r="P81" s="2"/>
      <c r="Q81" s="2"/>
      <c r="R81" s="2"/>
      <c r="S81" s="2"/>
      <c r="T81" s="2"/>
      <c r="U81" s="5">
        <v>0</v>
      </c>
    </row>
    <row r="82" spans="2:20" ht="12.75">
      <c r="B82" s="44"/>
      <c r="C82" s="17"/>
      <c r="D82" s="66"/>
      <c r="E82" s="19">
        <f t="shared" si="1"/>
        <v>0</v>
      </c>
      <c r="F82" s="17"/>
      <c r="G82" s="17"/>
      <c r="H82" s="66"/>
      <c r="I82" s="66"/>
      <c r="J82" s="66"/>
      <c r="K82" s="66"/>
      <c r="L82" s="66"/>
      <c r="M82" s="66"/>
      <c r="N82" s="66"/>
      <c r="O82" s="2"/>
      <c r="P82" s="2"/>
      <c r="Q82" s="2"/>
      <c r="R82" s="2"/>
      <c r="S82" s="2"/>
      <c r="T82" s="2"/>
    </row>
    <row r="83" spans="1:20" ht="12.75">
      <c r="A83" s="3">
        <v>34</v>
      </c>
      <c r="B83" s="79" t="s">
        <v>175</v>
      </c>
      <c r="C83" s="60"/>
      <c r="D83" s="80" t="s">
        <v>94</v>
      </c>
      <c r="E83" s="18" t="s">
        <v>2</v>
      </c>
      <c r="F83" s="81">
        <f>0.075/4</f>
        <v>0.01875</v>
      </c>
      <c r="G83" s="81">
        <f aca="true" t="shared" si="2" ref="G83:M83">0.075/4</f>
        <v>0.01875</v>
      </c>
      <c r="H83" s="81">
        <f t="shared" si="2"/>
        <v>0.01875</v>
      </c>
      <c r="I83" s="81">
        <f t="shared" si="2"/>
        <v>0.01875</v>
      </c>
      <c r="J83" s="81">
        <f t="shared" si="2"/>
        <v>0.01875</v>
      </c>
      <c r="K83" s="81">
        <f t="shared" si="2"/>
        <v>0.01875</v>
      </c>
      <c r="L83" s="81">
        <f t="shared" si="2"/>
        <v>0.01875</v>
      </c>
      <c r="M83" s="81">
        <f t="shared" si="2"/>
        <v>0.01875</v>
      </c>
      <c r="N83" s="66"/>
      <c r="O83" s="2"/>
      <c r="P83" s="2"/>
      <c r="Q83" s="2"/>
      <c r="R83" s="2"/>
      <c r="S83" s="2"/>
      <c r="T83" s="2"/>
    </row>
    <row r="84" spans="2:14" ht="12.75">
      <c r="B84" s="44"/>
      <c r="C84" s="17"/>
      <c r="D84" s="45"/>
      <c r="E84" s="17"/>
      <c r="F84" s="17"/>
      <c r="G84" s="17"/>
      <c r="H84" s="17"/>
      <c r="I84" s="17"/>
      <c r="J84" s="17"/>
      <c r="K84" s="17"/>
      <c r="L84" s="17"/>
      <c r="M84" s="17"/>
      <c r="N84" s="17"/>
    </row>
    <row r="85" spans="1:21" s="9" customFormat="1" ht="14.25">
      <c r="A85" s="9">
        <v>35</v>
      </c>
      <c r="B85" s="64" t="s">
        <v>269</v>
      </c>
      <c r="C85" s="12"/>
      <c r="D85" s="34" t="s">
        <v>139</v>
      </c>
      <c r="E85" s="34" t="s">
        <v>104</v>
      </c>
      <c r="F85" s="37">
        <v>0</v>
      </c>
      <c r="G85" s="39">
        <v>1</v>
      </c>
      <c r="H85" s="36">
        <v>2</v>
      </c>
      <c r="I85" s="36">
        <v>3</v>
      </c>
      <c r="J85" s="36">
        <v>4</v>
      </c>
      <c r="K85" s="36">
        <v>5</v>
      </c>
      <c r="L85" s="36">
        <v>6</v>
      </c>
      <c r="M85" s="36">
        <v>7</v>
      </c>
      <c r="N85" s="36">
        <v>8</v>
      </c>
      <c r="O85" s="11"/>
      <c r="P85" s="11"/>
      <c r="Q85" s="11"/>
      <c r="R85" s="11"/>
      <c r="S85" s="11"/>
      <c r="T85" s="11"/>
      <c r="U85" s="11">
        <v>0</v>
      </c>
    </row>
    <row r="86" spans="1:20" ht="12.75">
      <c r="A86" s="3">
        <v>36</v>
      </c>
      <c r="B86" s="65" t="s">
        <v>140</v>
      </c>
      <c r="C86" s="18"/>
      <c r="D86" s="17">
        <f>F67</f>
        <v>2262000</v>
      </c>
      <c r="E86" s="17"/>
      <c r="F86" s="66">
        <f>D86</f>
        <v>2262000</v>
      </c>
      <c r="G86" s="66"/>
      <c r="H86" s="66"/>
      <c r="I86" s="66"/>
      <c r="J86" s="66"/>
      <c r="K86" s="66"/>
      <c r="L86" s="66"/>
      <c r="M86" s="66"/>
      <c r="N86" s="66"/>
      <c r="O86" s="2"/>
      <c r="P86" s="2"/>
      <c r="Q86" s="2"/>
      <c r="R86" s="2"/>
      <c r="S86" s="2"/>
      <c r="T86" s="2"/>
    </row>
    <row r="87" spans="1:20" ht="12.75">
      <c r="A87" s="3">
        <v>37</v>
      </c>
      <c r="B87" s="65" t="s">
        <v>203</v>
      </c>
      <c r="C87" s="18"/>
      <c r="D87" s="76">
        <v>41000</v>
      </c>
      <c r="E87" s="19">
        <f>SUM(F87:T87)</f>
        <v>180</v>
      </c>
      <c r="F87" s="19">
        <f>F51</f>
        <v>0</v>
      </c>
      <c r="G87" s="19">
        <f>G51</f>
        <v>0</v>
      </c>
      <c r="H87" s="19">
        <f>H51</f>
        <v>20</v>
      </c>
      <c r="I87" s="19">
        <f>I51</f>
        <v>36</v>
      </c>
      <c r="J87" s="19">
        <f>J51</f>
        <v>30</v>
      </c>
      <c r="K87" s="19">
        <f>K51</f>
        <v>27</v>
      </c>
      <c r="L87" s="19">
        <f>L51</f>
        <v>37</v>
      </c>
      <c r="M87" s="19">
        <f>M51</f>
        <v>15</v>
      </c>
      <c r="N87" s="19">
        <f>N51</f>
        <v>15</v>
      </c>
      <c r="O87" s="5"/>
      <c r="P87" s="5"/>
      <c r="Q87" s="5"/>
      <c r="R87" s="5"/>
      <c r="S87" s="5"/>
      <c r="T87" s="5"/>
    </row>
    <row r="88" spans="1:20" ht="12.75">
      <c r="A88" s="3">
        <v>38</v>
      </c>
      <c r="B88" s="65" t="s">
        <v>141</v>
      </c>
      <c r="C88" s="18"/>
      <c r="D88" s="19"/>
      <c r="E88" s="19">
        <f>SUM(F88:T88)</f>
        <v>1262000</v>
      </c>
      <c r="F88" s="82">
        <f>F86-F92</f>
        <v>1262000</v>
      </c>
      <c r="G88" s="66"/>
      <c r="H88" s="66"/>
      <c r="I88" s="66"/>
      <c r="J88" s="66"/>
      <c r="K88" s="66"/>
      <c r="L88" s="66"/>
      <c r="M88" s="66"/>
      <c r="N88" s="66"/>
      <c r="O88" s="2"/>
      <c r="P88" s="2"/>
      <c r="Q88" s="2"/>
      <c r="R88" s="2"/>
      <c r="S88" s="2"/>
      <c r="T88" s="2"/>
    </row>
    <row r="89" spans="1:14" ht="12.75">
      <c r="A89" s="3">
        <v>39</v>
      </c>
      <c r="B89" s="65" t="s">
        <v>192</v>
      </c>
      <c r="C89" s="18"/>
      <c r="D89" s="19">
        <f>IF(D87=0,0,D87)</f>
        <v>41000</v>
      </c>
      <c r="E89" s="18" t="s">
        <v>2</v>
      </c>
      <c r="F89" s="83">
        <f>IF(D89=0,0,+F88/$D$89)</f>
        <v>30.78048780487805</v>
      </c>
      <c r="G89" s="83">
        <f>IF(F91&gt;0,0,+F89-F87)</f>
        <v>30.78048780487805</v>
      </c>
      <c r="H89" s="83">
        <f>IF(G91&gt;0,0,+G89-G87+G101)</f>
        <v>30.78048780487805</v>
      </c>
      <c r="I89" s="83">
        <f>IF(H91&gt;0,0,+H89-H87+H101)</f>
        <v>13.219512195121952</v>
      </c>
      <c r="J89" s="83">
        <f>IF(I91&gt;0,0,+I89-I87+I101)</f>
        <v>0</v>
      </c>
      <c r="K89" s="83">
        <f>IF(J91&gt;0,0,+J89-J87+J101)</f>
        <v>0</v>
      </c>
      <c r="L89" s="83">
        <f>IF(K91&gt;0,0,+K89-K87+K101)</f>
        <v>0</v>
      </c>
      <c r="M89" s="83">
        <f>IF(L91&gt;0,0,+L89-L87+L101)</f>
        <v>0</v>
      </c>
      <c r="N89" s="17"/>
    </row>
    <row r="90" spans="1:15" ht="12.75">
      <c r="A90" s="3">
        <v>40</v>
      </c>
      <c r="B90" s="65" t="s">
        <v>193</v>
      </c>
      <c r="C90" s="18"/>
      <c r="D90" s="17"/>
      <c r="E90" s="17"/>
      <c r="F90" s="84"/>
      <c r="G90" s="83">
        <f aca="true" t="shared" si="3" ref="G90:N90">MAXA(G89-G87,0)</f>
        <v>30.78048780487805</v>
      </c>
      <c r="H90" s="83">
        <f t="shared" si="3"/>
        <v>10.78048780487805</v>
      </c>
      <c r="I90" s="83">
        <f t="shared" si="3"/>
        <v>0</v>
      </c>
      <c r="J90" s="83">
        <f t="shared" si="3"/>
        <v>0</v>
      </c>
      <c r="K90" s="83">
        <f t="shared" si="3"/>
        <v>0</v>
      </c>
      <c r="L90" s="83">
        <f t="shared" si="3"/>
        <v>0</v>
      </c>
      <c r="M90" s="83">
        <f t="shared" si="3"/>
        <v>0</v>
      </c>
      <c r="N90" s="19">
        <f t="shared" si="3"/>
        <v>0</v>
      </c>
      <c r="O90" s="5"/>
    </row>
    <row r="91" spans="1:20" ht="12.75">
      <c r="A91" s="3">
        <v>41</v>
      </c>
      <c r="B91" s="65" t="s">
        <v>194</v>
      </c>
      <c r="C91" s="18"/>
      <c r="D91" s="17"/>
      <c r="E91" s="18" t="s">
        <v>2</v>
      </c>
      <c r="F91" s="83">
        <f>MAXA(0,+F87-F89)</f>
        <v>0</v>
      </c>
      <c r="G91" s="83">
        <f aca="true" t="shared" si="4" ref="G91:N91">MAXA(+G87-G89,0)</f>
        <v>0</v>
      </c>
      <c r="H91" s="83">
        <f t="shared" si="4"/>
        <v>0</v>
      </c>
      <c r="I91" s="83">
        <f t="shared" si="4"/>
        <v>22.78048780487805</v>
      </c>
      <c r="J91" s="83">
        <f t="shared" si="4"/>
        <v>30</v>
      </c>
      <c r="K91" s="83">
        <f t="shared" si="4"/>
        <v>27</v>
      </c>
      <c r="L91" s="77">
        <f t="shared" si="4"/>
        <v>37</v>
      </c>
      <c r="M91" s="77">
        <f t="shared" si="4"/>
        <v>15</v>
      </c>
      <c r="N91" s="19">
        <f t="shared" si="4"/>
        <v>15</v>
      </c>
      <c r="O91" s="5"/>
      <c r="P91" s="5"/>
      <c r="Q91" s="5"/>
      <c r="R91" s="5"/>
      <c r="S91" s="5"/>
      <c r="T91" s="5"/>
    </row>
    <row r="92" spans="1:20" ht="12.75">
      <c r="A92" s="3">
        <v>42</v>
      </c>
      <c r="B92" s="65" t="s">
        <v>138</v>
      </c>
      <c r="C92" s="18"/>
      <c r="D92" s="17"/>
      <c r="E92" s="19">
        <f>SUM(F92:T92)</f>
        <v>1000000</v>
      </c>
      <c r="F92" s="66">
        <v>1000000</v>
      </c>
      <c r="G92" s="66"/>
      <c r="H92" s="66"/>
      <c r="I92" s="66"/>
      <c r="J92" s="66"/>
      <c r="K92" s="66"/>
      <c r="L92" s="66"/>
      <c r="M92" s="66"/>
      <c r="N92" s="66"/>
      <c r="O92" s="2"/>
      <c r="P92" s="2"/>
      <c r="Q92" s="2"/>
      <c r="R92" s="2"/>
      <c r="S92" s="2"/>
      <c r="T92" s="2"/>
    </row>
    <row r="93" spans="1:21" ht="12.75">
      <c r="A93" s="3">
        <v>43</v>
      </c>
      <c r="B93" s="65" t="s">
        <v>195</v>
      </c>
      <c r="C93" s="18"/>
      <c r="D93" s="19"/>
      <c r="E93" s="19"/>
      <c r="F93" s="66"/>
      <c r="G93" s="66"/>
      <c r="H93" s="85">
        <v>0.1</v>
      </c>
      <c r="I93" s="85">
        <v>0.2</v>
      </c>
      <c r="J93" s="85">
        <v>0.35</v>
      </c>
      <c r="K93" s="85">
        <v>0.35</v>
      </c>
      <c r="L93" s="85"/>
      <c r="M93" s="66"/>
      <c r="N93" s="66"/>
      <c r="O93" s="2"/>
      <c r="P93" s="2"/>
      <c r="Q93" s="2"/>
      <c r="R93" s="2"/>
      <c r="S93" s="2"/>
      <c r="T93" s="2"/>
      <c r="U93" s="5"/>
    </row>
    <row r="94" spans="1:20" ht="12.75">
      <c r="A94" s="3">
        <v>44</v>
      </c>
      <c r="B94" s="65" t="s">
        <v>196</v>
      </c>
      <c r="C94" s="18"/>
      <c r="D94" s="17"/>
      <c r="E94" s="17"/>
      <c r="F94" s="19">
        <f aca="true" t="shared" si="5" ref="F94:N94">F93*$F$92</f>
        <v>0</v>
      </c>
      <c r="G94" s="19">
        <f t="shared" si="5"/>
        <v>0</v>
      </c>
      <c r="H94" s="19">
        <f t="shared" si="5"/>
        <v>100000</v>
      </c>
      <c r="I94" s="19">
        <f t="shared" si="5"/>
        <v>200000</v>
      </c>
      <c r="J94" s="19">
        <f t="shared" si="5"/>
        <v>350000</v>
      </c>
      <c r="K94" s="19">
        <f t="shared" si="5"/>
        <v>350000</v>
      </c>
      <c r="L94" s="19">
        <f t="shared" si="5"/>
        <v>0</v>
      </c>
      <c r="M94" s="19">
        <f t="shared" si="5"/>
        <v>0</v>
      </c>
      <c r="N94" s="19">
        <f t="shared" si="5"/>
        <v>0</v>
      </c>
      <c r="O94" s="5"/>
      <c r="P94" s="5"/>
      <c r="Q94" s="5"/>
      <c r="R94" s="5"/>
      <c r="S94" s="5"/>
      <c r="T94" s="5"/>
    </row>
    <row r="95" spans="1:20" ht="12.75">
      <c r="A95" s="3">
        <v>45</v>
      </c>
      <c r="B95" s="65" t="s">
        <v>197</v>
      </c>
      <c r="C95" s="18"/>
      <c r="D95" s="17"/>
      <c r="E95" s="17"/>
      <c r="F95" s="19">
        <f>F92-F94</f>
        <v>1000000</v>
      </c>
      <c r="G95" s="19">
        <f aca="true" t="shared" si="6" ref="G95:N95">F95-G94</f>
        <v>1000000</v>
      </c>
      <c r="H95" s="19">
        <f t="shared" si="6"/>
        <v>900000</v>
      </c>
      <c r="I95" s="19">
        <f t="shared" si="6"/>
        <v>700000</v>
      </c>
      <c r="J95" s="19">
        <f t="shared" si="6"/>
        <v>350000</v>
      </c>
      <c r="K95" s="19">
        <f t="shared" si="6"/>
        <v>0</v>
      </c>
      <c r="L95" s="19">
        <f t="shared" si="6"/>
        <v>0</v>
      </c>
      <c r="M95" s="19">
        <f t="shared" si="6"/>
        <v>0</v>
      </c>
      <c r="N95" s="19">
        <f t="shared" si="6"/>
        <v>0</v>
      </c>
      <c r="O95" s="5"/>
      <c r="P95" s="5"/>
      <c r="Q95" s="5"/>
      <c r="R95" s="5"/>
      <c r="S95" s="5"/>
      <c r="T95" s="5"/>
    </row>
    <row r="96" spans="1:20" ht="12.75">
      <c r="A96" s="3">
        <v>46</v>
      </c>
      <c r="B96" s="65" t="s">
        <v>142</v>
      </c>
      <c r="C96" s="18"/>
      <c r="D96" s="17"/>
      <c r="E96" s="18" t="s">
        <v>2</v>
      </c>
      <c r="F96" s="19">
        <f>F92</f>
        <v>1000000</v>
      </c>
      <c r="G96" s="19">
        <f aca="true" t="shared" si="7" ref="G96:N96">F100</f>
        <v>1000000</v>
      </c>
      <c r="H96" s="19">
        <f t="shared" si="7"/>
        <v>1000000</v>
      </c>
      <c r="I96" s="19">
        <f t="shared" si="7"/>
        <v>900000</v>
      </c>
      <c r="J96" s="19">
        <f t="shared" si="7"/>
        <v>0</v>
      </c>
      <c r="K96" s="19">
        <f t="shared" si="7"/>
        <v>0</v>
      </c>
      <c r="L96" s="19">
        <f t="shared" si="7"/>
        <v>0</v>
      </c>
      <c r="M96" s="19">
        <f t="shared" si="7"/>
        <v>0</v>
      </c>
      <c r="N96" s="19">
        <f t="shared" si="7"/>
        <v>0</v>
      </c>
      <c r="O96" s="5"/>
      <c r="P96" s="5"/>
      <c r="Q96" s="5"/>
      <c r="R96" s="5"/>
      <c r="S96" s="5"/>
      <c r="T96" s="5"/>
    </row>
    <row r="97" spans="1:20" ht="12.75">
      <c r="A97" s="3">
        <v>47</v>
      </c>
      <c r="B97" s="65" t="s">
        <v>143</v>
      </c>
      <c r="C97" s="18"/>
      <c r="D97" s="19">
        <f>D89</f>
        <v>41000</v>
      </c>
      <c r="E97" s="19">
        <f>SUM(F97:T97)</f>
        <v>900000</v>
      </c>
      <c r="F97" s="19">
        <f>MINA(+$D$97*F91,F96)</f>
        <v>0</v>
      </c>
      <c r="G97" s="19">
        <f>MINA(+$D$97*G91,G96)</f>
        <v>0</v>
      </c>
      <c r="H97" s="19">
        <f>MINA(+$D$97*H91,H96)</f>
        <v>0</v>
      </c>
      <c r="I97" s="19">
        <f>MINA(+$D$97*I91,I96)</f>
        <v>900000</v>
      </c>
      <c r="J97" s="19">
        <f>MINA(+$D$97*J91,J96)</f>
        <v>0</v>
      </c>
      <c r="K97" s="19">
        <f>MINA(+$D$97*K91,K96)</f>
        <v>0</v>
      </c>
      <c r="L97" s="19">
        <f>MINA(+$D$97*L91,L96)</f>
        <v>0</v>
      </c>
      <c r="M97" s="19">
        <f>MINA(+$D$97*M91,M96)</f>
        <v>0</v>
      </c>
      <c r="N97" s="19">
        <f>MINA(+$D$97*N91,N96)</f>
        <v>0</v>
      </c>
      <c r="O97" s="5"/>
      <c r="P97" s="5"/>
      <c r="Q97" s="5"/>
      <c r="R97" s="5"/>
      <c r="S97" s="5"/>
      <c r="T97" s="5"/>
    </row>
    <row r="98" spans="1:20" ht="12.75">
      <c r="A98" s="3">
        <v>48</v>
      </c>
      <c r="B98" s="65" t="s">
        <v>144</v>
      </c>
      <c r="C98" s="18"/>
      <c r="D98" s="17"/>
      <c r="E98" s="18" t="s">
        <v>2</v>
      </c>
      <c r="F98" s="19">
        <f aca="true" t="shared" si="8" ref="F98:N98">F96-F97</f>
        <v>1000000</v>
      </c>
      <c r="G98" s="19">
        <f t="shared" si="8"/>
        <v>1000000</v>
      </c>
      <c r="H98" s="19">
        <f t="shared" si="8"/>
        <v>1000000</v>
      </c>
      <c r="I98" s="19">
        <f t="shared" si="8"/>
        <v>0</v>
      </c>
      <c r="J98" s="19">
        <f t="shared" si="8"/>
        <v>0</v>
      </c>
      <c r="K98" s="19">
        <f t="shared" si="8"/>
        <v>0</v>
      </c>
      <c r="L98" s="19">
        <f t="shared" si="8"/>
        <v>0</v>
      </c>
      <c r="M98" s="19">
        <f t="shared" si="8"/>
        <v>0</v>
      </c>
      <c r="N98" s="19">
        <f t="shared" si="8"/>
        <v>0</v>
      </c>
      <c r="O98" s="5"/>
      <c r="P98" s="5"/>
      <c r="Q98" s="5"/>
      <c r="R98" s="5"/>
      <c r="S98" s="5"/>
      <c r="T98" s="5"/>
    </row>
    <row r="99" spans="1:20" ht="12.75">
      <c r="A99" s="3">
        <v>49</v>
      </c>
      <c r="B99" s="65" t="s">
        <v>145</v>
      </c>
      <c r="C99" s="18"/>
      <c r="D99" s="17"/>
      <c r="E99" s="18" t="s">
        <v>2</v>
      </c>
      <c r="F99" s="19">
        <f>IF(F98&gt;F95,F98-F95,0)</f>
        <v>0</v>
      </c>
      <c r="G99" s="19">
        <f>IF(G98&gt;G95,G98-G95,0)</f>
        <v>0</v>
      </c>
      <c r="H99" s="19">
        <f>IF(H98&gt;H95,H98-H95,0)</f>
        <v>100000</v>
      </c>
      <c r="I99" s="19">
        <f>IF(I98&gt;I95,I98-I95,0)</f>
        <v>0</v>
      </c>
      <c r="J99" s="19">
        <f>IF(J98&gt;J95,J98-J95,0)</f>
        <v>0</v>
      </c>
      <c r="K99" s="19">
        <f>IF(K98&gt;K95,K98-K95,0)</f>
        <v>0</v>
      </c>
      <c r="L99" s="19">
        <f>IF(L98&gt;L95,L98-L95,0)</f>
        <v>0</v>
      </c>
      <c r="M99" s="19">
        <f>IF(M98&gt;M95,M98-M95,0)</f>
        <v>0</v>
      </c>
      <c r="N99" s="19">
        <f>IF(N98&gt;N95,N98-N95,0)</f>
        <v>0</v>
      </c>
      <c r="O99" s="5"/>
      <c r="P99" s="5"/>
      <c r="Q99" s="5"/>
      <c r="R99" s="5"/>
      <c r="S99" s="5"/>
      <c r="T99" s="5"/>
    </row>
    <row r="100" spans="1:20" ht="12.75">
      <c r="A100" s="3">
        <v>50</v>
      </c>
      <c r="B100" s="65" t="s">
        <v>146</v>
      </c>
      <c r="C100" s="18"/>
      <c r="D100" s="17"/>
      <c r="E100" s="17"/>
      <c r="F100" s="19">
        <f aca="true" t="shared" si="9" ref="F100:N100">F98-F99</f>
        <v>1000000</v>
      </c>
      <c r="G100" s="19">
        <f t="shared" si="9"/>
        <v>1000000</v>
      </c>
      <c r="H100" s="19">
        <f t="shared" si="9"/>
        <v>900000</v>
      </c>
      <c r="I100" s="19">
        <f t="shared" si="9"/>
        <v>0</v>
      </c>
      <c r="J100" s="19">
        <f t="shared" si="9"/>
        <v>0</v>
      </c>
      <c r="K100" s="19">
        <f t="shared" si="9"/>
        <v>0</v>
      </c>
      <c r="L100" s="19">
        <f t="shared" si="9"/>
        <v>0</v>
      </c>
      <c r="M100" s="19">
        <f t="shared" si="9"/>
        <v>0</v>
      </c>
      <c r="N100" s="19">
        <f t="shared" si="9"/>
        <v>0</v>
      </c>
      <c r="O100" s="5"/>
      <c r="P100" s="5"/>
      <c r="Q100" s="5"/>
      <c r="R100" s="5"/>
      <c r="S100" s="5"/>
      <c r="T100" s="5"/>
    </row>
    <row r="101" spans="1:14" ht="12.75">
      <c r="A101" s="3">
        <v>51</v>
      </c>
      <c r="B101" s="44" t="s">
        <v>256</v>
      </c>
      <c r="C101" s="17"/>
      <c r="D101" s="17">
        <f>D97</f>
        <v>41000</v>
      </c>
      <c r="E101" s="17"/>
      <c r="F101" s="17"/>
      <c r="G101" s="17"/>
      <c r="H101" s="86">
        <f>H99/$D$101</f>
        <v>2.4390243902439024</v>
      </c>
      <c r="I101" s="86">
        <f>I99/$D$101</f>
        <v>0</v>
      </c>
      <c r="J101" s="86">
        <f>J99/$D$101</f>
        <v>0</v>
      </c>
      <c r="K101" s="86">
        <f>K99/$D$101</f>
        <v>0</v>
      </c>
      <c r="L101" s="17"/>
      <c r="M101" s="17"/>
      <c r="N101" s="17"/>
    </row>
    <row r="102" spans="1:20" ht="14.25">
      <c r="A102" s="3">
        <v>52</v>
      </c>
      <c r="B102" s="68" t="s">
        <v>270</v>
      </c>
      <c r="C102" s="12"/>
      <c r="D102" s="128">
        <v>0.015</v>
      </c>
      <c r="E102" s="11">
        <f>SUM(F102:T102)</f>
        <v>43500</v>
      </c>
      <c r="F102" s="15"/>
      <c r="G102" s="11">
        <f aca="true" t="shared" si="10" ref="G102:N102">G96*$D$102</f>
        <v>15000</v>
      </c>
      <c r="H102" s="11">
        <f t="shared" si="10"/>
        <v>15000</v>
      </c>
      <c r="I102" s="11">
        <f t="shared" si="10"/>
        <v>13500</v>
      </c>
      <c r="J102" s="11">
        <f t="shared" si="10"/>
        <v>0</v>
      </c>
      <c r="K102" s="11">
        <f t="shared" si="10"/>
        <v>0</v>
      </c>
      <c r="L102" s="11">
        <f t="shared" si="10"/>
        <v>0</v>
      </c>
      <c r="M102" s="11">
        <f t="shared" si="10"/>
        <v>0</v>
      </c>
      <c r="N102" s="11">
        <f t="shared" si="10"/>
        <v>0</v>
      </c>
      <c r="O102" s="5"/>
      <c r="P102" s="5"/>
      <c r="Q102" s="5"/>
      <c r="R102" s="5"/>
      <c r="S102" s="5"/>
      <c r="T102" s="5"/>
    </row>
    <row r="103" spans="1:20" ht="12.75">
      <c r="A103" s="3">
        <v>53</v>
      </c>
      <c r="B103" s="65" t="s">
        <v>147</v>
      </c>
      <c r="C103" s="18"/>
      <c r="D103" s="17"/>
      <c r="E103" s="19">
        <f>SUM(F103:T103)</f>
        <v>43500</v>
      </c>
      <c r="F103" s="19">
        <f>-F96</f>
        <v>-1000000</v>
      </c>
      <c r="G103" s="19">
        <f>G97+G99+G102</f>
        <v>15000</v>
      </c>
      <c r="H103" s="19">
        <f>H97+H99+H102</f>
        <v>115000</v>
      </c>
      <c r="I103" s="19">
        <f>I97+I99+I102</f>
        <v>913500</v>
      </c>
      <c r="J103" s="19">
        <f>J97+J99+J102</f>
        <v>0</v>
      </c>
      <c r="K103" s="19">
        <f>K97+K99+K102</f>
        <v>0</v>
      </c>
      <c r="L103" s="19">
        <f>L97+L99+L102</f>
        <v>0</v>
      </c>
      <c r="M103" s="19">
        <f>M97+M99+M102</f>
        <v>0</v>
      </c>
      <c r="N103" s="19">
        <f>N97+N99+N102</f>
        <v>0</v>
      </c>
      <c r="O103" s="5"/>
      <c r="P103" s="5"/>
      <c r="Q103" s="5"/>
      <c r="R103" s="5"/>
      <c r="S103" s="5"/>
      <c r="T103" s="5"/>
    </row>
    <row r="104" spans="2:20" ht="12.75">
      <c r="B104" s="106" t="s">
        <v>198</v>
      </c>
      <c r="C104" s="107"/>
      <c r="D104" s="107"/>
      <c r="E104" s="107"/>
      <c r="F104" s="107"/>
      <c r="G104" s="107"/>
      <c r="H104" s="107"/>
      <c r="I104" s="107"/>
      <c r="J104" s="107"/>
      <c r="K104" s="107"/>
      <c r="L104" s="107"/>
      <c r="M104" s="107"/>
      <c r="N104" s="107"/>
      <c r="O104" s="8"/>
      <c r="P104" s="8"/>
      <c r="Q104" s="8"/>
      <c r="R104" s="8"/>
      <c r="S104" s="8"/>
      <c r="T104" s="8"/>
    </row>
    <row r="105" spans="2:20" ht="12.75">
      <c r="B105" s="108"/>
      <c r="C105" s="107"/>
      <c r="D105" s="107"/>
      <c r="E105" s="107"/>
      <c r="F105" s="107"/>
      <c r="G105" s="107"/>
      <c r="H105" s="107"/>
      <c r="I105" s="107"/>
      <c r="J105" s="107"/>
      <c r="K105" s="107"/>
      <c r="L105" s="107"/>
      <c r="M105" s="107"/>
      <c r="N105" s="107"/>
      <c r="O105" s="8"/>
      <c r="P105" s="8"/>
      <c r="Q105" s="8"/>
      <c r="R105" s="8"/>
      <c r="S105" s="8"/>
      <c r="T105" s="8"/>
    </row>
    <row r="106" spans="2:20" ht="12.75">
      <c r="B106" s="108"/>
      <c r="C106" s="107"/>
      <c r="D106" s="107"/>
      <c r="E106" s="107"/>
      <c r="F106" s="107"/>
      <c r="G106" s="107"/>
      <c r="H106" s="107"/>
      <c r="I106" s="107"/>
      <c r="J106" s="107"/>
      <c r="K106" s="107"/>
      <c r="L106" s="107"/>
      <c r="M106" s="107"/>
      <c r="N106" s="107"/>
      <c r="O106" s="8"/>
      <c r="P106" s="8"/>
      <c r="Q106" s="8"/>
      <c r="R106" s="8"/>
      <c r="S106" s="8"/>
      <c r="T106" s="8"/>
    </row>
    <row r="107" spans="2:20" ht="7.5" customHeight="1">
      <c r="B107" s="106" t="s">
        <v>251</v>
      </c>
      <c r="C107" s="107"/>
      <c r="D107" s="107"/>
      <c r="E107" s="107"/>
      <c r="F107" s="107"/>
      <c r="G107" s="107"/>
      <c r="H107" s="107"/>
      <c r="I107" s="107"/>
      <c r="J107" s="107"/>
      <c r="K107" s="107"/>
      <c r="L107" s="107"/>
      <c r="M107" s="107"/>
      <c r="N107" s="107"/>
      <c r="O107" s="8"/>
      <c r="P107" s="8"/>
      <c r="Q107" s="8"/>
      <c r="R107" s="8"/>
      <c r="S107" s="8"/>
      <c r="T107" s="8"/>
    </row>
    <row r="108" spans="2:20" ht="12.75" customHeight="1">
      <c r="B108" s="108"/>
      <c r="C108" s="107"/>
      <c r="D108" s="107"/>
      <c r="E108" s="107"/>
      <c r="F108" s="107"/>
      <c r="G108" s="107"/>
      <c r="H108" s="107"/>
      <c r="I108" s="107"/>
      <c r="J108" s="107"/>
      <c r="K108" s="107"/>
      <c r="L108" s="107"/>
      <c r="M108" s="107"/>
      <c r="N108" s="107"/>
      <c r="O108" s="8"/>
      <c r="P108" s="8"/>
      <c r="Q108" s="8"/>
      <c r="R108" s="8"/>
      <c r="S108" s="8"/>
      <c r="T108" s="8"/>
    </row>
    <row r="109" spans="2:20" ht="12.75">
      <c r="B109" s="108"/>
      <c r="C109" s="107"/>
      <c r="D109" s="107"/>
      <c r="E109" s="107"/>
      <c r="F109" s="107"/>
      <c r="G109" s="107"/>
      <c r="H109" s="107"/>
      <c r="I109" s="107"/>
      <c r="J109" s="107"/>
      <c r="K109" s="107"/>
      <c r="L109" s="107"/>
      <c r="M109" s="107"/>
      <c r="N109" s="107"/>
      <c r="O109" s="8"/>
      <c r="P109" s="8"/>
      <c r="Q109" s="8"/>
      <c r="R109" s="8"/>
      <c r="S109" s="8"/>
      <c r="T109" s="8"/>
    </row>
    <row r="110" spans="2:20" ht="6" customHeight="1">
      <c r="B110" s="88"/>
      <c r="C110" s="55"/>
      <c r="D110" s="55"/>
      <c r="E110" s="55"/>
      <c r="F110" s="55"/>
      <c r="G110" s="55"/>
      <c r="H110" s="55"/>
      <c r="I110" s="55"/>
      <c r="J110" s="55"/>
      <c r="K110" s="55"/>
      <c r="L110" s="55"/>
      <c r="M110" s="55"/>
      <c r="N110" s="55"/>
      <c r="O110" s="8"/>
      <c r="P110" s="8"/>
      <c r="Q110" s="8"/>
      <c r="R110" s="8"/>
      <c r="S110" s="8"/>
      <c r="T110" s="8"/>
    </row>
    <row r="111" spans="2:20" ht="12.75">
      <c r="B111" s="106" t="s">
        <v>250</v>
      </c>
      <c r="C111" s="107"/>
      <c r="D111" s="107"/>
      <c r="E111" s="107"/>
      <c r="F111" s="107"/>
      <c r="G111" s="107"/>
      <c r="H111" s="107"/>
      <c r="I111" s="107"/>
      <c r="J111" s="107"/>
      <c r="K111" s="107"/>
      <c r="L111" s="107"/>
      <c r="M111" s="107"/>
      <c r="N111" s="107"/>
      <c r="O111" s="8"/>
      <c r="P111" s="8"/>
      <c r="Q111" s="8"/>
      <c r="R111" s="8"/>
      <c r="S111" s="8"/>
      <c r="T111" s="8"/>
    </row>
    <row r="112" spans="2:20" ht="5.25" customHeight="1">
      <c r="B112" s="88"/>
      <c r="C112" s="55"/>
      <c r="D112" s="55"/>
      <c r="E112" s="55"/>
      <c r="F112" s="55"/>
      <c r="G112" s="55"/>
      <c r="H112" s="55"/>
      <c r="I112" s="55"/>
      <c r="J112" s="55"/>
      <c r="K112" s="55"/>
      <c r="L112" s="55"/>
      <c r="M112" s="55"/>
      <c r="N112" s="55"/>
      <c r="O112" s="8"/>
      <c r="P112" s="8"/>
      <c r="Q112" s="8"/>
      <c r="R112" s="8"/>
      <c r="S112" s="8"/>
      <c r="T112" s="8"/>
    </row>
    <row r="113" spans="2:20" ht="12.75">
      <c r="B113" s="106" t="s">
        <v>249</v>
      </c>
      <c r="C113" s="107"/>
      <c r="D113" s="107"/>
      <c r="E113" s="107"/>
      <c r="F113" s="107"/>
      <c r="G113" s="107"/>
      <c r="H113" s="107"/>
      <c r="I113" s="107"/>
      <c r="J113" s="107"/>
      <c r="K113" s="107"/>
      <c r="L113" s="107"/>
      <c r="M113" s="107"/>
      <c r="N113" s="107"/>
      <c r="O113" s="8"/>
      <c r="P113" s="8"/>
      <c r="Q113" s="8"/>
      <c r="R113" s="8"/>
      <c r="S113" s="8"/>
      <c r="T113" s="8"/>
    </row>
    <row r="114" spans="2:20" ht="8.25" customHeight="1">
      <c r="B114" s="88"/>
      <c r="C114" s="55"/>
      <c r="D114" s="55"/>
      <c r="E114" s="55"/>
      <c r="F114" s="55"/>
      <c r="G114" s="55"/>
      <c r="H114" s="55"/>
      <c r="I114" s="55"/>
      <c r="J114" s="55"/>
      <c r="K114" s="55"/>
      <c r="L114" s="55"/>
      <c r="M114" s="55"/>
      <c r="N114" s="55"/>
      <c r="O114" s="8"/>
      <c r="P114" s="8"/>
      <c r="Q114" s="8"/>
      <c r="R114" s="8"/>
      <c r="S114" s="8"/>
      <c r="T114" s="8"/>
    </row>
    <row r="115" spans="2:20" ht="12.75">
      <c r="B115" s="106" t="s">
        <v>248</v>
      </c>
      <c r="C115" s="107"/>
      <c r="D115" s="107"/>
      <c r="E115" s="107"/>
      <c r="F115" s="107"/>
      <c r="G115" s="107"/>
      <c r="H115" s="107"/>
      <c r="I115" s="107"/>
      <c r="J115" s="107"/>
      <c r="K115" s="107"/>
      <c r="L115" s="107"/>
      <c r="M115" s="107"/>
      <c r="N115" s="107"/>
      <c r="O115" s="8"/>
      <c r="P115" s="8"/>
      <c r="Q115" s="8"/>
      <c r="R115" s="8"/>
      <c r="S115" s="8"/>
      <c r="T115" s="8"/>
    </row>
    <row r="116" spans="2:20" ht="8.25" customHeight="1">
      <c r="B116" s="106" t="s">
        <v>247</v>
      </c>
      <c r="C116" s="107"/>
      <c r="D116" s="107"/>
      <c r="E116" s="107"/>
      <c r="F116" s="107"/>
      <c r="G116" s="107"/>
      <c r="H116" s="107"/>
      <c r="I116" s="107"/>
      <c r="J116" s="107"/>
      <c r="K116" s="107"/>
      <c r="L116" s="107"/>
      <c r="M116" s="107"/>
      <c r="N116" s="107"/>
      <c r="O116" s="8"/>
      <c r="P116" s="8"/>
      <c r="Q116" s="8"/>
      <c r="R116" s="8"/>
      <c r="S116" s="8"/>
      <c r="T116" s="8"/>
    </row>
    <row r="117" spans="2:20" ht="12.75">
      <c r="B117" s="108"/>
      <c r="C117" s="107"/>
      <c r="D117" s="107"/>
      <c r="E117" s="107"/>
      <c r="F117" s="107"/>
      <c r="G117" s="107"/>
      <c r="H117" s="107"/>
      <c r="I117" s="107"/>
      <c r="J117" s="107"/>
      <c r="K117" s="107"/>
      <c r="L117" s="107"/>
      <c r="M117" s="107"/>
      <c r="N117" s="107"/>
      <c r="O117" s="8"/>
      <c r="P117" s="8"/>
      <c r="Q117" s="8"/>
      <c r="R117" s="8"/>
      <c r="S117" s="8"/>
      <c r="T117" s="8"/>
    </row>
    <row r="118" spans="2:20" ht="12.75">
      <c r="B118" s="108"/>
      <c r="C118" s="107"/>
      <c r="D118" s="107"/>
      <c r="E118" s="107"/>
      <c r="F118" s="107"/>
      <c r="G118" s="107"/>
      <c r="H118" s="107"/>
      <c r="I118" s="107"/>
      <c r="J118" s="107"/>
      <c r="K118" s="107"/>
      <c r="L118" s="107"/>
      <c r="M118" s="107"/>
      <c r="N118" s="107"/>
      <c r="O118" s="8"/>
      <c r="P118" s="8"/>
      <c r="Q118" s="8"/>
      <c r="R118" s="8"/>
      <c r="S118" s="8"/>
      <c r="T118" s="8"/>
    </row>
    <row r="119" spans="2:20" ht="7.5" customHeight="1">
      <c r="B119" s="106" t="s">
        <v>246</v>
      </c>
      <c r="C119" s="107"/>
      <c r="D119" s="107"/>
      <c r="E119" s="107"/>
      <c r="F119" s="107"/>
      <c r="G119" s="107"/>
      <c r="H119" s="107"/>
      <c r="I119" s="107"/>
      <c r="J119" s="107"/>
      <c r="K119" s="107"/>
      <c r="L119" s="107"/>
      <c r="M119" s="107"/>
      <c r="N119" s="107"/>
      <c r="O119" s="8"/>
      <c r="P119" s="8"/>
      <c r="Q119" s="8"/>
      <c r="R119" s="8"/>
      <c r="S119" s="8"/>
      <c r="T119" s="8"/>
    </row>
    <row r="120" spans="2:20" ht="17.25" customHeight="1">
      <c r="B120" s="108"/>
      <c r="C120" s="107"/>
      <c r="D120" s="107"/>
      <c r="E120" s="107"/>
      <c r="F120" s="107"/>
      <c r="G120" s="107"/>
      <c r="H120" s="107"/>
      <c r="I120" s="107"/>
      <c r="J120" s="107"/>
      <c r="K120" s="107"/>
      <c r="L120" s="107"/>
      <c r="M120" s="107"/>
      <c r="N120" s="107"/>
      <c r="O120" s="8"/>
      <c r="P120" s="8"/>
      <c r="Q120" s="8"/>
      <c r="R120" s="8"/>
      <c r="S120" s="8"/>
      <c r="T120" s="8"/>
    </row>
    <row r="121" spans="2:20" ht="7.5" customHeight="1">
      <c r="B121" s="88"/>
      <c r="C121" s="55"/>
      <c r="D121" s="55"/>
      <c r="E121" s="55"/>
      <c r="F121" s="55"/>
      <c r="G121" s="55"/>
      <c r="H121" s="55"/>
      <c r="I121" s="55"/>
      <c r="J121" s="55"/>
      <c r="K121" s="55"/>
      <c r="L121" s="55"/>
      <c r="M121" s="55"/>
      <c r="N121" s="55"/>
      <c r="O121" s="8"/>
      <c r="P121" s="8"/>
      <c r="Q121" s="8"/>
      <c r="R121" s="8"/>
      <c r="S121" s="8"/>
      <c r="T121" s="8"/>
    </row>
    <row r="122" spans="2:20" ht="12.75">
      <c r="B122" s="106" t="s">
        <v>252</v>
      </c>
      <c r="C122" s="107"/>
      <c r="D122" s="107"/>
      <c r="E122" s="107"/>
      <c r="F122" s="107"/>
      <c r="G122" s="107"/>
      <c r="H122" s="107"/>
      <c r="I122" s="107"/>
      <c r="J122" s="107"/>
      <c r="K122" s="107"/>
      <c r="L122" s="107"/>
      <c r="M122" s="107"/>
      <c r="N122" s="107"/>
      <c r="O122" s="8"/>
      <c r="P122" s="8"/>
      <c r="Q122" s="8"/>
      <c r="R122" s="8"/>
      <c r="S122" s="8"/>
      <c r="T122" s="8"/>
    </row>
    <row r="123" spans="2:20" ht="12.75">
      <c r="B123" s="108"/>
      <c r="C123" s="107"/>
      <c r="D123" s="107"/>
      <c r="E123" s="107"/>
      <c r="F123" s="107"/>
      <c r="G123" s="107"/>
      <c r="H123" s="107"/>
      <c r="I123" s="107"/>
      <c r="J123" s="107"/>
      <c r="K123" s="107"/>
      <c r="L123" s="107"/>
      <c r="M123" s="107"/>
      <c r="N123" s="107"/>
      <c r="O123" s="8"/>
      <c r="P123" s="8"/>
      <c r="Q123" s="8"/>
      <c r="R123" s="8"/>
      <c r="S123" s="8"/>
      <c r="T123" s="8"/>
    </row>
    <row r="124" spans="2:20" ht="12.75">
      <c r="B124" s="108"/>
      <c r="C124" s="107"/>
      <c r="D124" s="107"/>
      <c r="E124" s="107"/>
      <c r="F124" s="107"/>
      <c r="G124" s="107"/>
      <c r="H124" s="107"/>
      <c r="I124" s="107"/>
      <c r="J124" s="107"/>
      <c r="K124" s="107"/>
      <c r="L124" s="107"/>
      <c r="M124" s="107"/>
      <c r="N124" s="107"/>
      <c r="O124" s="8"/>
      <c r="P124" s="8"/>
      <c r="Q124" s="8"/>
      <c r="R124" s="8"/>
      <c r="S124" s="8"/>
      <c r="T124" s="8"/>
    </row>
    <row r="125" spans="2:20" ht="12.75">
      <c r="B125" s="108"/>
      <c r="C125" s="107"/>
      <c r="D125" s="107"/>
      <c r="E125" s="107"/>
      <c r="F125" s="107"/>
      <c r="G125" s="107"/>
      <c r="H125" s="107"/>
      <c r="I125" s="107"/>
      <c r="J125" s="107"/>
      <c r="K125" s="107"/>
      <c r="L125" s="107"/>
      <c r="M125" s="107"/>
      <c r="N125" s="107"/>
      <c r="O125" s="8"/>
      <c r="P125" s="8"/>
      <c r="Q125" s="8"/>
      <c r="R125" s="8"/>
      <c r="S125" s="8"/>
      <c r="T125" s="8"/>
    </row>
    <row r="126" spans="2:20" ht="6.75" customHeight="1">
      <c r="B126" s="88"/>
      <c r="C126" s="55"/>
      <c r="D126" s="55"/>
      <c r="E126" s="55"/>
      <c r="F126" s="55"/>
      <c r="G126" s="55"/>
      <c r="H126" s="55"/>
      <c r="I126" s="55"/>
      <c r="J126" s="55"/>
      <c r="K126" s="55"/>
      <c r="L126" s="55"/>
      <c r="M126" s="55"/>
      <c r="N126" s="55"/>
      <c r="O126" s="8"/>
      <c r="P126" s="8"/>
      <c r="Q126" s="8"/>
      <c r="R126" s="8"/>
      <c r="S126" s="8"/>
      <c r="T126" s="8"/>
    </row>
    <row r="127" spans="2:20" ht="12.75">
      <c r="B127" s="106" t="s">
        <v>245</v>
      </c>
      <c r="C127" s="107"/>
      <c r="D127" s="107"/>
      <c r="E127" s="107"/>
      <c r="F127" s="107"/>
      <c r="G127" s="107"/>
      <c r="H127" s="107"/>
      <c r="I127" s="107"/>
      <c r="J127" s="107"/>
      <c r="K127" s="107"/>
      <c r="L127" s="107"/>
      <c r="M127" s="107"/>
      <c r="N127" s="107"/>
      <c r="O127" s="8"/>
      <c r="P127" s="8"/>
      <c r="Q127" s="8"/>
      <c r="R127" s="8"/>
      <c r="S127" s="8"/>
      <c r="T127" s="8"/>
    </row>
    <row r="128" spans="2:20" ht="12.75">
      <c r="B128" s="88"/>
      <c r="C128" s="55"/>
      <c r="D128" s="55"/>
      <c r="E128" s="55"/>
      <c r="F128" s="55"/>
      <c r="G128" s="55"/>
      <c r="H128" s="55"/>
      <c r="I128" s="55"/>
      <c r="J128" s="55"/>
      <c r="K128" s="55"/>
      <c r="L128" s="55"/>
      <c r="M128" s="55"/>
      <c r="N128" s="55"/>
      <c r="O128" s="8"/>
      <c r="P128" s="8"/>
      <c r="Q128" s="8"/>
      <c r="R128" s="8"/>
      <c r="S128" s="8"/>
      <c r="T128" s="8"/>
    </row>
    <row r="129" spans="2:14" ht="15.75">
      <c r="B129" s="129" t="s">
        <v>208</v>
      </c>
      <c r="C129" s="130"/>
      <c r="D129" s="130"/>
      <c r="E129" s="130"/>
      <c r="F129" s="130"/>
      <c r="G129" s="130"/>
      <c r="H129" s="130"/>
      <c r="I129" s="130"/>
      <c r="J129" s="130"/>
      <c r="K129" s="130"/>
      <c r="L129" s="130"/>
      <c r="M129" s="130"/>
      <c r="N129" s="130"/>
    </row>
    <row r="130" spans="2:14" ht="15.75">
      <c r="B130" s="129" t="s">
        <v>107</v>
      </c>
      <c r="C130" s="130"/>
      <c r="D130" s="130"/>
      <c r="E130" s="130"/>
      <c r="F130" s="130"/>
      <c r="G130" s="130"/>
      <c r="H130" s="130"/>
      <c r="I130" s="130"/>
      <c r="J130" s="130"/>
      <c r="K130" s="130"/>
      <c r="L130" s="130"/>
      <c r="M130" s="130"/>
      <c r="N130" s="130"/>
    </row>
    <row r="131" spans="2:21" ht="12.75">
      <c r="B131" s="44"/>
      <c r="C131" s="17"/>
      <c r="D131" s="19"/>
      <c r="E131" s="18" t="s">
        <v>2</v>
      </c>
      <c r="F131" s="17"/>
      <c r="G131" s="17"/>
      <c r="H131" s="17"/>
      <c r="I131" s="17"/>
      <c r="J131" s="17"/>
      <c r="K131" s="17"/>
      <c r="L131" s="17"/>
      <c r="M131" s="17"/>
      <c r="N131" s="17"/>
      <c r="U131" s="5">
        <v>0</v>
      </c>
    </row>
    <row r="132" spans="1:21" s="15" customFormat="1" ht="14.25">
      <c r="A132" s="17">
        <v>54</v>
      </c>
      <c r="B132" s="64" t="s">
        <v>271</v>
      </c>
      <c r="C132" s="12"/>
      <c r="D132" s="11"/>
      <c r="E132" s="34" t="s">
        <v>104</v>
      </c>
      <c r="F132" s="40">
        <v>0</v>
      </c>
      <c r="G132" s="36">
        <v>1</v>
      </c>
      <c r="H132" s="36">
        <v>2</v>
      </c>
      <c r="I132" s="36">
        <v>3</v>
      </c>
      <c r="J132" s="36">
        <v>4</v>
      </c>
      <c r="K132" s="36">
        <v>5</v>
      </c>
      <c r="L132" s="36">
        <v>6</v>
      </c>
      <c r="M132" s="36">
        <v>7</v>
      </c>
      <c r="N132" s="36">
        <v>8</v>
      </c>
      <c r="O132" s="11"/>
      <c r="P132" s="11"/>
      <c r="Q132" s="11"/>
      <c r="R132" s="11"/>
      <c r="S132" s="11"/>
      <c r="T132" s="11"/>
      <c r="U132" s="11">
        <v>0</v>
      </c>
    </row>
    <row r="133" spans="1:21" ht="12.75">
      <c r="A133" s="3">
        <v>55</v>
      </c>
      <c r="B133" s="23" t="s">
        <v>148</v>
      </c>
      <c r="C133" s="18"/>
      <c r="D133" s="17"/>
      <c r="E133" s="17"/>
      <c r="F133" s="17"/>
      <c r="G133" s="17"/>
      <c r="H133" s="17"/>
      <c r="I133" s="17"/>
      <c r="J133" s="17"/>
      <c r="K133" s="17"/>
      <c r="L133" s="17"/>
      <c r="M133" s="17"/>
      <c r="N133" s="17"/>
      <c r="U133" s="5">
        <v>0</v>
      </c>
    </row>
    <row r="134" spans="1:21" ht="12.75">
      <c r="A134" s="3">
        <v>56</v>
      </c>
      <c r="B134" s="65" t="s">
        <v>149</v>
      </c>
      <c r="C134" s="18"/>
      <c r="D134" s="19"/>
      <c r="E134" s="19">
        <f>SUM(F134:T134)</f>
        <v>11002397.860772694</v>
      </c>
      <c r="F134" s="19">
        <f>F64</f>
        <v>0</v>
      </c>
      <c r="G134" s="19">
        <f>G64</f>
        <v>0</v>
      </c>
      <c r="H134" s="19">
        <f>H64</f>
        <v>1070771</v>
      </c>
      <c r="I134" s="19">
        <f>I64</f>
        <v>1941843.2085000004</v>
      </c>
      <c r="J134" s="19">
        <f>J64</f>
        <v>1630339.1938031253</v>
      </c>
      <c r="K134" s="19">
        <f>K64</f>
        <v>1771746.5441253465</v>
      </c>
      <c r="L134" s="19">
        <f>L64</f>
        <v>2446158.585134541</v>
      </c>
      <c r="M134" s="19">
        <f>M64</f>
        <v>1066769.279805569</v>
      </c>
      <c r="N134" s="19">
        <f>N64</f>
        <v>1074770.0494041108</v>
      </c>
      <c r="O134" s="5"/>
      <c r="P134" s="5"/>
      <c r="Q134" s="5"/>
      <c r="R134" s="5"/>
      <c r="S134" s="5"/>
      <c r="T134" s="5"/>
      <c r="U134" s="5">
        <v>0</v>
      </c>
    </row>
    <row r="135" spans="1:20" ht="12.75">
      <c r="A135" s="3">
        <v>57</v>
      </c>
      <c r="B135" s="44"/>
      <c r="C135" s="17"/>
      <c r="D135" s="17"/>
      <c r="E135" s="45" t="s">
        <v>4</v>
      </c>
      <c r="F135" s="45" t="s">
        <v>1</v>
      </c>
      <c r="G135" s="45" t="s">
        <v>1</v>
      </c>
      <c r="H135" s="45" t="s">
        <v>1</v>
      </c>
      <c r="I135" s="45" t="s">
        <v>1</v>
      </c>
      <c r="J135" s="45" t="s">
        <v>1</v>
      </c>
      <c r="K135" s="45" t="s">
        <v>1</v>
      </c>
      <c r="L135" s="45" t="s">
        <v>1</v>
      </c>
      <c r="M135" s="45" t="s">
        <v>1</v>
      </c>
      <c r="N135" s="45" t="s">
        <v>1</v>
      </c>
      <c r="O135" s="4"/>
      <c r="P135" s="4"/>
      <c r="Q135" s="4"/>
      <c r="R135" s="4"/>
      <c r="S135" s="4"/>
      <c r="T135" s="4"/>
    </row>
    <row r="136" spans="1:39" ht="12.75">
      <c r="A136" s="3">
        <v>58</v>
      </c>
      <c r="B136" s="65" t="s">
        <v>219</v>
      </c>
      <c r="C136" s="18"/>
      <c r="D136" s="19"/>
      <c r="E136" s="19">
        <f>SUM(F136:T136)</f>
        <v>11002397.860772694</v>
      </c>
      <c r="F136" s="19">
        <f aca="true" t="shared" si="11" ref="F136:N136">F134</f>
        <v>0</v>
      </c>
      <c r="G136" s="19">
        <f t="shared" si="11"/>
        <v>0</v>
      </c>
      <c r="H136" s="19">
        <f t="shared" si="11"/>
        <v>1070771</v>
      </c>
      <c r="I136" s="19">
        <f t="shared" si="11"/>
        <v>1941843.2085000004</v>
      </c>
      <c r="J136" s="19">
        <f t="shared" si="11"/>
        <v>1630339.1938031253</v>
      </c>
      <c r="K136" s="19">
        <f t="shared" si="11"/>
        <v>1771746.5441253465</v>
      </c>
      <c r="L136" s="19">
        <f t="shared" si="11"/>
        <v>2446158.585134541</v>
      </c>
      <c r="M136" s="19">
        <f t="shared" si="11"/>
        <v>1066769.279805569</v>
      </c>
      <c r="N136" s="19">
        <f t="shared" si="11"/>
        <v>1074770.0494041108</v>
      </c>
      <c r="O136" s="5"/>
      <c r="P136" s="5"/>
      <c r="Q136" s="5"/>
      <c r="R136" s="5"/>
      <c r="S136" s="5"/>
      <c r="T136" s="5"/>
      <c r="U136" s="5">
        <v>0</v>
      </c>
      <c r="AJ136" s="6" t="s">
        <v>5</v>
      </c>
      <c r="AM136" s="6" t="s">
        <v>6</v>
      </c>
    </row>
    <row r="137" spans="1:39" ht="14.25">
      <c r="A137" s="3">
        <v>59</v>
      </c>
      <c r="B137" s="23" t="s">
        <v>272</v>
      </c>
      <c r="C137" s="18"/>
      <c r="D137" s="19"/>
      <c r="E137" s="18" t="s">
        <v>2</v>
      </c>
      <c r="F137" s="17"/>
      <c r="G137" s="17"/>
      <c r="H137" s="17"/>
      <c r="I137" s="17"/>
      <c r="J137" s="17"/>
      <c r="K137" s="17"/>
      <c r="L137" s="17"/>
      <c r="M137" s="17"/>
      <c r="N137" s="17"/>
      <c r="U137" s="5">
        <v>0</v>
      </c>
      <c r="AJ137" s="6" t="s">
        <v>7</v>
      </c>
      <c r="AM137" s="6" t="s">
        <v>8</v>
      </c>
    </row>
    <row r="138" spans="1:39" ht="14.25">
      <c r="A138" s="3">
        <v>60</v>
      </c>
      <c r="B138" s="79" t="s">
        <v>273</v>
      </c>
      <c r="C138" s="60"/>
      <c r="D138" s="19"/>
      <c r="E138" s="19">
        <f>SUM(F138:T138)</f>
        <v>2262000</v>
      </c>
      <c r="F138" s="19">
        <f>F67</f>
        <v>2262000</v>
      </c>
      <c r="G138" s="19">
        <f>G67*(1+$D67)^(G$46-1)</f>
        <v>0</v>
      </c>
      <c r="H138" s="19">
        <f>H67*(1+$D67)^(H$46-1)</f>
        <v>0</v>
      </c>
      <c r="I138" s="19">
        <f>I67*(1+$D67)^(I$46-1)</f>
        <v>0</v>
      </c>
      <c r="J138" s="19">
        <f>J67*(1+$D67)^(J$46-1)</f>
        <v>0</v>
      </c>
      <c r="K138" s="19">
        <f>K67*(1+$D67)^(K$46-1)</f>
        <v>0</v>
      </c>
      <c r="L138" s="19">
        <f>L67*(1+$D67)^(L$46-1)</f>
        <v>0</v>
      </c>
      <c r="M138" s="19">
        <f>M67*(1+$D67)^(M$46-1)</f>
        <v>0</v>
      </c>
      <c r="N138" s="19">
        <f>N67*(1+$D67)^(N$46-1)</f>
        <v>0</v>
      </c>
      <c r="O138" s="5"/>
      <c r="P138" s="5"/>
      <c r="Q138" s="5"/>
      <c r="R138" s="5"/>
      <c r="S138" s="5"/>
      <c r="T138" s="5"/>
      <c r="U138" s="5">
        <v>0</v>
      </c>
      <c r="AJ138" s="6" t="s">
        <v>9</v>
      </c>
      <c r="AM138" s="6" t="s">
        <v>10</v>
      </c>
    </row>
    <row r="139" spans="1:39" ht="12.75">
      <c r="A139" s="3">
        <v>61</v>
      </c>
      <c r="B139" s="44"/>
      <c r="C139" s="60"/>
      <c r="D139" s="19"/>
      <c r="E139" s="19">
        <f>SUM(F139:T139)</f>
        <v>0</v>
      </c>
      <c r="F139" s="19">
        <f>F68</f>
        <v>0</v>
      </c>
      <c r="G139" s="19">
        <f>G68*(1+$D68)^(G$46-1)</f>
        <v>0</v>
      </c>
      <c r="H139" s="19">
        <f>H68*(1+$D68)^(H$46-1)</f>
        <v>0</v>
      </c>
      <c r="I139" s="19">
        <f>I68*(1+$D68)^(I$46-1)</f>
        <v>0</v>
      </c>
      <c r="J139" s="19">
        <f>J68*(1+$D68)^(J$46-1)</f>
        <v>0</v>
      </c>
      <c r="K139" s="19">
        <f>K68*(1+$D68)^(K$46-1)</f>
        <v>0</v>
      </c>
      <c r="L139" s="19">
        <f>L68*(1+$D68)^(L$46-1)</f>
        <v>0</v>
      </c>
      <c r="M139" s="19">
        <f>M68*(1+$D68)^(M$46-1)</f>
        <v>0</v>
      </c>
      <c r="N139" s="19">
        <f>N68*(1+$D68)^(N$46-1)</f>
        <v>0</v>
      </c>
      <c r="O139" s="5"/>
      <c r="P139" s="5"/>
      <c r="Q139" s="5"/>
      <c r="R139" s="5"/>
      <c r="S139" s="5"/>
      <c r="T139" s="5"/>
      <c r="U139" s="5">
        <v>0</v>
      </c>
      <c r="AM139" s="6" t="s">
        <v>11</v>
      </c>
    </row>
    <row r="140" spans="1:39" ht="12.75">
      <c r="A140" s="3">
        <v>62</v>
      </c>
      <c r="B140" s="44" t="s">
        <v>181</v>
      </c>
      <c r="C140" s="60"/>
      <c r="D140" s="19"/>
      <c r="E140" s="19">
        <f>E69</f>
        <v>210000</v>
      </c>
      <c r="F140" s="19">
        <f>F69</f>
        <v>0</v>
      </c>
      <c r="G140" s="19">
        <f>G69</f>
        <v>30000</v>
      </c>
      <c r="H140" s="19">
        <f>H69</f>
        <v>100000</v>
      </c>
      <c r="I140" s="19">
        <f>I69</f>
        <v>30000</v>
      </c>
      <c r="J140" s="19">
        <f>J69</f>
        <v>20000</v>
      </c>
      <c r="K140" s="19">
        <f>K69</f>
        <v>20000</v>
      </c>
      <c r="L140" s="19">
        <f>L69</f>
        <v>10000</v>
      </c>
      <c r="M140" s="19">
        <f>M69</f>
        <v>0</v>
      </c>
      <c r="N140" s="19">
        <f>N69</f>
        <v>0</v>
      </c>
      <c r="O140" s="5"/>
      <c r="P140" s="5"/>
      <c r="Q140" s="5"/>
      <c r="R140" s="5"/>
      <c r="S140" s="5"/>
      <c r="T140" s="5"/>
      <c r="U140" s="5">
        <v>0</v>
      </c>
      <c r="AM140" s="6" t="s">
        <v>12</v>
      </c>
    </row>
    <row r="141" spans="1:21" ht="12.75">
      <c r="A141" s="3">
        <v>63</v>
      </c>
      <c r="B141" s="44" t="s">
        <v>180</v>
      </c>
      <c r="C141" s="60"/>
      <c r="D141" s="19"/>
      <c r="E141" s="19">
        <f>E70</f>
        <v>600000</v>
      </c>
      <c r="F141" s="19">
        <f>F70</f>
        <v>0</v>
      </c>
      <c r="G141" s="19">
        <f>G70</f>
        <v>0</v>
      </c>
      <c r="H141" s="19">
        <f>H70</f>
        <v>200000</v>
      </c>
      <c r="I141" s="19">
        <f>I70</f>
        <v>200000</v>
      </c>
      <c r="J141" s="19">
        <f>J70</f>
        <v>100000</v>
      </c>
      <c r="K141" s="19">
        <f>K70</f>
        <v>50000</v>
      </c>
      <c r="L141" s="19">
        <f>L70</f>
        <v>50000</v>
      </c>
      <c r="M141" s="19">
        <f>M70</f>
        <v>0</v>
      </c>
      <c r="N141" s="19">
        <f>N70</f>
        <v>0</v>
      </c>
      <c r="O141" s="5"/>
      <c r="P141" s="5"/>
      <c r="Q141" s="5"/>
      <c r="R141" s="5"/>
      <c r="S141" s="5"/>
      <c r="T141" s="5"/>
      <c r="U141" s="5">
        <v>0</v>
      </c>
    </row>
    <row r="142" spans="1:41" ht="12.75">
      <c r="A142" s="3">
        <v>64</v>
      </c>
      <c r="B142" s="44" t="s">
        <v>182</v>
      </c>
      <c r="C142" s="60"/>
      <c r="D142" s="19"/>
      <c r="E142" s="19">
        <f>E71</f>
        <v>250000</v>
      </c>
      <c r="F142" s="19">
        <f>F71</f>
        <v>0</v>
      </c>
      <c r="G142" s="19">
        <f>G71</f>
        <v>50000</v>
      </c>
      <c r="H142" s="19">
        <f>H71</f>
        <v>100000</v>
      </c>
      <c r="I142" s="19">
        <f>I71</f>
        <v>50000</v>
      </c>
      <c r="J142" s="19">
        <f>J71</f>
        <v>20000</v>
      </c>
      <c r="K142" s="19">
        <f>K71</f>
        <v>20000</v>
      </c>
      <c r="L142" s="19">
        <f>L71</f>
        <v>10000</v>
      </c>
      <c r="M142" s="19">
        <f>M71</f>
        <v>0</v>
      </c>
      <c r="N142" s="19">
        <f>N71</f>
        <v>0</v>
      </c>
      <c r="O142" s="5"/>
      <c r="P142" s="5"/>
      <c r="Q142" s="5"/>
      <c r="R142" s="5"/>
      <c r="S142" s="5"/>
      <c r="T142" s="5"/>
      <c r="U142" s="5">
        <v>0</v>
      </c>
      <c r="AM142" s="5">
        <v>8</v>
      </c>
      <c r="AO142" s="6" t="s">
        <v>13</v>
      </c>
    </row>
    <row r="143" spans="1:41" ht="12.75">
      <c r="A143" s="3">
        <v>65</v>
      </c>
      <c r="B143" s="44" t="s">
        <v>183</v>
      </c>
      <c r="C143" s="60"/>
      <c r="D143" s="19"/>
      <c r="E143" s="19">
        <f>E72</f>
        <v>200000</v>
      </c>
      <c r="F143" s="19">
        <f>F72</f>
        <v>0</v>
      </c>
      <c r="G143" s="19">
        <f>G72</f>
        <v>20000</v>
      </c>
      <c r="H143" s="19">
        <f>H72</f>
        <v>100000</v>
      </c>
      <c r="I143" s="19">
        <f>I72</f>
        <v>20000</v>
      </c>
      <c r="J143" s="19">
        <f>J72</f>
        <v>20000</v>
      </c>
      <c r="K143" s="19">
        <f>K72</f>
        <v>20000</v>
      </c>
      <c r="L143" s="19">
        <f>L72</f>
        <v>20000</v>
      </c>
      <c r="M143" s="19">
        <f>M72</f>
        <v>0</v>
      </c>
      <c r="N143" s="19">
        <f>N72</f>
        <v>0</v>
      </c>
      <c r="O143" s="5"/>
      <c r="P143" s="5"/>
      <c r="Q143" s="5"/>
      <c r="R143" s="5"/>
      <c r="S143" s="5"/>
      <c r="T143" s="5"/>
      <c r="U143" s="5">
        <v>0</v>
      </c>
      <c r="AJ143" s="6" t="s">
        <v>14</v>
      </c>
      <c r="AO143" s="6" t="s">
        <v>15</v>
      </c>
    </row>
    <row r="144" spans="1:41" ht="12.75">
      <c r="A144" s="3">
        <v>66</v>
      </c>
      <c r="B144" s="44" t="s">
        <v>184</v>
      </c>
      <c r="C144" s="60"/>
      <c r="D144" s="66"/>
      <c r="E144" s="19">
        <f>E73</f>
        <v>180000</v>
      </c>
      <c r="F144" s="19">
        <f>F73</f>
        <v>0</v>
      </c>
      <c r="G144" s="19">
        <f>G73</f>
        <v>60000</v>
      </c>
      <c r="H144" s="19">
        <f>H73</f>
        <v>60000</v>
      </c>
      <c r="I144" s="19">
        <f>I73</f>
        <v>30000</v>
      </c>
      <c r="J144" s="19">
        <f>J73</f>
        <v>10000</v>
      </c>
      <c r="K144" s="19">
        <f>K73</f>
        <v>10000</v>
      </c>
      <c r="L144" s="19">
        <f>L73</f>
        <v>10000</v>
      </c>
      <c r="M144" s="19">
        <f>M73</f>
        <v>0</v>
      </c>
      <c r="N144" s="19">
        <f>N73</f>
        <v>0</v>
      </c>
      <c r="O144" s="5"/>
      <c r="P144" s="5"/>
      <c r="Q144" s="5"/>
      <c r="R144" s="5"/>
      <c r="S144" s="5"/>
      <c r="T144" s="5"/>
      <c r="U144" s="5">
        <f>$D144*U134</f>
        <v>0</v>
      </c>
      <c r="AO144" s="6" t="s">
        <v>16</v>
      </c>
    </row>
    <row r="145" spans="1:41" ht="12.75">
      <c r="A145" s="3">
        <v>67</v>
      </c>
      <c r="B145" s="44" t="s">
        <v>185</v>
      </c>
      <c r="C145" s="60"/>
      <c r="D145" s="66"/>
      <c r="E145" s="19">
        <f>E74</f>
        <v>85000</v>
      </c>
      <c r="F145" s="19">
        <f>F74</f>
        <v>0</v>
      </c>
      <c r="G145" s="19">
        <f>G74</f>
        <v>20000</v>
      </c>
      <c r="H145" s="19">
        <f>H74</f>
        <v>20000</v>
      </c>
      <c r="I145" s="19">
        <f>I74</f>
        <v>20000</v>
      </c>
      <c r="J145" s="19">
        <f>J74</f>
        <v>10000</v>
      </c>
      <c r="K145" s="19">
        <f>K74</f>
        <v>10000</v>
      </c>
      <c r="L145" s="19">
        <f>L74</f>
        <v>5000</v>
      </c>
      <c r="M145" s="19">
        <f>M74</f>
        <v>0</v>
      </c>
      <c r="N145" s="19">
        <f>N74</f>
        <v>0</v>
      </c>
      <c r="O145" s="5"/>
      <c r="P145" s="5"/>
      <c r="Q145" s="5"/>
      <c r="R145" s="5"/>
      <c r="S145" s="5"/>
      <c r="T145" s="5"/>
      <c r="U145" s="5"/>
      <c r="AO145" s="6"/>
    </row>
    <row r="146" spans="1:41" ht="12.75">
      <c r="A146" s="3">
        <v>68</v>
      </c>
      <c r="B146" s="44" t="s">
        <v>186</v>
      </c>
      <c r="C146" s="60"/>
      <c r="D146" s="66"/>
      <c r="E146" s="19">
        <f>E75</f>
        <v>160000</v>
      </c>
      <c r="F146" s="19">
        <f>F75</f>
        <v>0</v>
      </c>
      <c r="G146" s="19">
        <f>G75</f>
        <v>20000</v>
      </c>
      <c r="H146" s="19">
        <f>H75</f>
        <v>60000</v>
      </c>
      <c r="I146" s="19">
        <f>I75</f>
        <v>60000</v>
      </c>
      <c r="J146" s="19">
        <f>J75</f>
        <v>10000</v>
      </c>
      <c r="K146" s="19">
        <f>K75</f>
        <v>5000</v>
      </c>
      <c r="L146" s="19">
        <f>L75</f>
        <v>5000</v>
      </c>
      <c r="M146" s="19">
        <f>M75</f>
        <v>0</v>
      </c>
      <c r="N146" s="19">
        <f>N75</f>
        <v>0</v>
      </c>
      <c r="O146" s="5"/>
      <c r="P146" s="5"/>
      <c r="Q146" s="5"/>
      <c r="R146" s="5"/>
      <c r="S146" s="5"/>
      <c r="T146" s="5"/>
      <c r="U146" s="5"/>
      <c r="AO146" s="6"/>
    </row>
    <row r="147" spans="1:41" ht="12.75">
      <c r="A147" s="3">
        <v>69</v>
      </c>
      <c r="B147" s="44" t="s">
        <v>187</v>
      </c>
      <c r="C147" s="60"/>
      <c r="D147" s="19"/>
      <c r="E147" s="19">
        <f>E76</f>
        <v>506031</v>
      </c>
      <c r="F147" s="19">
        <f>F76</f>
        <v>0</v>
      </c>
      <c r="G147" s="19">
        <f>G76</f>
        <v>506031</v>
      </c>
      <c r="H147" s="19">
        <f>H76</f>
        <v>0</v>
      </c>
      <c r="I147" s="19">
        <f>I76</f>
        <v>0</v>
      </c>
      <c r="J147" s="19">
        <f>J76</f>
        <v>0</v>
      </c>
      <c r="K147" s="19">
        <f>K76</f>
        <v>0</v>
      </c>
      <c r="L147" s="19">
        <f>L76</f>
        <v>0</v>
      </c>
      <c r="M147" s="19">
        <f>M76</f>
        <v>0</v>
      </c>
      <c r="N147" s="19">
        <f>N76</f>
        <v>0</v>
      </c>
      <c r="O147" s="5"/>
      <c r="P147" s="5"/>
      <c r="Q147" s="5"/>
      <c r="R147" s="5"/>
      <c r="S147" s="5"/>
      <c r="T147" s="5"/>
      <c r="U147" s="5">
        <v>0</v>
      </c>
      <c r="AJ147" s="6" t="s">
        <v>17</v>
      </c>
      <c r="AO147" s="6" t="s">
        <v>18</v>
      </c>
    </row>
    <row r="148" spans="1:41" ht="12.75">
      <c r="A148" s="3">
        <v>70</v>
      </c>
      <c r="B148" s="44" t="s">
        <v>188</v>
      </c>
      <c r="C148" s="60"/>
      <c r="D148" s="19"/>
      <c r="E148" s="19">
        <f>E77</f>
        <v>850000</v>
      </c>
      <c r="F148" s="19">
        <f>F77</f>
        <v>0</v>
      </c>
      <c r="G148" s="19">
        <f>G77</f>
        <v>350000</v>
      </c>
      <c r="H148" s="19">
        <f>H77</f>
        <v>100000</v>
      </c>
      <c r="I148" s="19">
        <f>I77</f>
        <v>100000</v>
      </c>
      <c r="J148" s="19">
        <f>J77</f>
        <v>100000</v>
      </c>
      <c r="K148" s="19">
        <f>K77</f>
        <v>100000</v>
      </c>
      <c r="L148" s="19">
        <f>L77</f>
        <v>50000</v>
      </c>
      <c r="M148" s="19">
        <f>M77</f>
        <v>50000</v>
      </c>
      <c r="N148" s="19">
        <f>N77</f>
        <v>0</v>
      </c>
      <c r="O148" s="5"/>
      <c r="P148" s="5"/>
      <c r="Q148" s="5"/>
      <c r="R148" s="5"/>
      <c r="S148" s="5"/>
      <c r="T148" s="5"/>
      <c r="U148" s="5">
        <v>0</v>
      </c>
      <c r="AO148" s="6" t="s">
        <v>19</v>
      </c>
    </row>
    <row r="149" spans="1:41" ht="12.75">
      <c r="A149" s="3">
        <v>71</v>
      </c>
      <c r="B149" s="44" t="s">
        <v>189</v>
      </c>
      <c r="C149" s="60"/>
      <c r="D149" s="19"/>
      <c r="E149" s="19">
        <f>E78</f>
        <v>350000</v>
      </c>
      <c r="F149" s="19">
        <f>F78</f>
        <v>0</v>
      </c>
      <c r="G149" s="19">
        <f>G78</f>
        <v>100000</v>
      </c>
      <c r="H149" s="19">
        <f>H78</f>
        <v>50000</v>
      </c>
      <c r="I149" s="19">
        <f>I78</f>
        <v>50000</v>
      </c>
      <c r="J149" s="19">
        <f>J78</f>
        <v>50000</v>
      </c>
      <c r="K149" s="19">
        <f>K78</f>
        <v>50000</v>
      </c>
      <c r="L149" s="19">
        <f>L78</f>
        <v>50000</v>
      </c>
      <c r="M149" s="19">
        <f>M78</f>
        <v>0</v>
      </c>
      <c r="N149" s="19">
        <f>N78</f>
        <v>0</v>
      </c>
      <c r="O149" s="5"/>
      <c r="P149" s="5"/>
      <c r="Q149" s="5"/>
      <c r="R149" s="5"/>
      <c r="S149" s="5"/>
      <c r="T149" s="5"/>
      <c r="U149" s="5">
        <v>0</v>
      </c>
      <c r="AJ149" s="6" t="s">
        <v>20</v>
      </c>
      <c r="AO149" s="6" t="s">
        <v>21</v>
      </c>
    </row>
    <row r="150" spans="1:41" ht="12.75">
      <c r="A150" s="3">
        <v>72</v>
      </c>
      <c r="B150" s="44" t="s">
        <v>190</v>
      </c>
      <c r="C150" s="60"/>
      <c r="D150" s="19"/>
      <c r="E150" s="19">
        <f>E79</f>
        <v>1050000</v>
      </c>
      <c r="F150" s="19">
        <f>F79</f>
        <v>100000</v>
      </c>
      <c r="G150" s="19">
        <f>G79</f>
        <v>200000</v>
      </c>
      <c r="H150" s="19">
        <f>H79</f>
        <v>200000</v>
      </c>
      <c r="I150" s="19">
        <f>I79</f>
        <v>200000</v>
      </c>
      <c r="J150" s="19">
        <f>J79</f>
        <v>200000</v>
      </c>
      <c r="K150" s="19">
        <f>K79</f>
        <v>100000</v>
      </c>
      <c r="L150" s="19">
        <f>L79</f>
        <v>50000</v>
      </c>
      <c r="M150" s="19">
        <f>M79</f>
        <v>0</v>
      </c>
      <c r="N150" s="19">
        <f>N79</f>
        <v>0</v>
      </c>
      <c r="O150" s="5"/>
      <c r="P150" s="5"/>
      <c r="Q150" s="5"/>
      <c r="R150" s="5"/>
      <c r="S150" s="5"/>
      <c r="T150" s="5"/>
      <c r="U150" s="5">
        <v>0</v>
      </c>
      <c r="AO150" s="6" t="s">
        <v>22</v>
      </c>
    </row>
    <row r="151" spans="1:41" ht="12.75">
      <c r="A151" s="3">
        <v>73</v>
      </c>
      <c r="B151" s="44" t="s">
        <v>201</v>
      </c>
      <c r="C151" s="60"/>
      <c r="D151" s="19"/>
      <c r="E151" s="19">
        <f>E80</f>
        <v>156075</v>
      </c>
      <c r="F151" s="19">
        <f>F80</f>
        <v>156075</v>
      </c>
      <c r="G151" s="19">
        <f>G80</f>
        <v>0</v>
      </c>
      <c r="H151" s="19">
        <f>H80</f>
        <v>0</v>
      </c>
      <c r="I151" s="19">
        <f>I80</f>
        <v>0</v>
      </c>
      <c r="J151" s="19">
        <f>J80</f>
        <v>0</v>
      </c>
      <c r="K151" s="19">
        <f>K80</f>
        <v>0</v>
      </c>
      <c r="L151" s="19">
        <f>L80</f>
        <v>0</v>
      </c>
      <c r="M151" s="19">
        <f>M80</f>
        <v>0</v>
      </c>
      <c r="N151" s="19">
        <f>N80</f>
        <v>0</v>
      </c>
      <c r="O151" s="5"/>
      <c r="P151" s="5"/>
      <c r="Q151" s="5"/>
      <c r="R151" s="5"/>
      <c r="S151" s="5"/>
      <c r="T151" s="5"/>
      <c r="U151" s="5"/>
      <c r="AO151" s="6"/>
    </row>
    <row r="152" spans="1:41" ht="14.25">
      <c r="A152" s="3">
        <v>74</v>
      </c>
      <c r="B152" s="71" t="s">
        <v>274</v>
      </c>
      <c r="C152" s="60"/>
      <c r="D152" s="89">
        <v>0.06</v>
      </c>
      <c r="E152" s="19">
        <f>SUM(F152:T152)</f>
        <v>660143.8716463615</v>
      </c>
      <c r="F152" s="19">
        <f>F81</f>
        <v>0</v>
      </c>
      <c r="G152" s="19">
        <f aca="true" t="shared" si="12" ref="G152:N153">G$136*$D152</f>
        <v>0</v>
      </c>
      <c r="H152" s="19">
        <f t="shared" si="12"/>
        <v>64246.259999999995</v>
      </c>
      <c r="I152" s="19">
        <f t="shared" si="12"/>
        <v>116510.59251000002</v>
      </c>
      <c r="J152" s="19">
        <f t="shared" si="12"/>
        <v>97820.35162818752</v>
      </c>
      <c r="K152" s="19">
        <f t="shared" si="12"/>
        <v>106304.79264752078</v>
      </c>
      <c r="L152" s="19">
        <f t="shared" si="12"/>
        <v>146769.51510807246</v>
      </c>
      <c r="M152" s="19">
        <f t="shared" si="12"/>
        <v>64006.156788334134</v>
      </c>
      <c r="N152" s="19">
        <f t="shared" si="12"/>
        <v>64486.202964246644</v>
      </c>
      <c r="O152" s="5"/>
      <c r="P152" s="5"/>
      <c r="Q152" s="5"/>
      <c r="R152" s="5"/>
      <c r="S152" s="5"/>
      <c r="T152" s="5"/>
      <c r="U152" s="5">
        <v>0</v>
      </c>
      <c r="AJ152" s="6" t="s">
        <v>23</v>
      </c>
      <c r="AO152" s="6" t="s">
        <v>24</v>
      </c>
    </row>
    <row r="153" spans="1:21" ht="12.75">
      <c r="A153" s="3">
        <v>75</v>
      </c>
      <c r="B153" s="71" t="s">
        <v>202</v>
      </c>
      <c r="C153" s="60"/>
      <c r="D153" s="89">
        <v>0.06</v>
      </c>
      <c r="E153" s="11">
        <f>SUM(F153:T153)</f>
        <v>660143.8716463615</v>
      </c>
      <c r="F153" s="11">
        <f>F82</f>
        <v>0</v>
      </c>
      <c r="G153" s="11">
        <f t="shared" si="12"/>
        <v>0</v>
      </c>
      <c r="H153" s="11">
        <f t="shared" si="12"/>
        <v>64246.259999999995</v>
      </c>
      <c r="I153" s="11">
        <f t="shared" si="12"/>
        <v>116510.59251000002</v>
      </c>
      <c r="J153" s="11">
        <f t="shared" si="12"/>
        <v>97820.35162818752</v>
      </c>
      <c r="K153" s="11">
        <f t="shared" si="12"/>
        <v>106304.79264752078</v>
      </c>
      <c r="L153" s="11">
        <f t="shared" si="12"/>
        <v>146769.51510807246</v>
      </c>
      <c r="M153" s="11">
        <f t="shared" si="12"/>
        <v>64006.156788334134</v>
      </c>
      <c r="N153" s="11">
        <f t="shared" si="12"/>
        <v>64486.202964246644</v>
      </c>
      <c r="O153" s="5"/>
      <c r="P153" s="5"/>
      <c r="Q153" s="5"/>
      <c r="R153" s="5"/>
      <c r="S153" s="5"/>
      <c r="T153" s="5"/>
      <c r="U153" s="5">
        <v>0</v>
      </c>
    </row>
    <row r="154" spans="1:21" s="15" customFormat="1" ht="12.75">
      <c r="A154" s="17">
        <v>76</v>
      </c>
      <c r="B154" s="65" t="s">
        <v>218</v>
      </c>
      <c r="C154" s="18"/>
      <c r="D154" s="19"/>
      <c r="E154" s="11">
        <f>SUM(F154:T154)</f>
        <v>8179393.743292722</v>
      </c>
      <c r="F154" s="11">
        <f>SUM(F138:F153)</f>
        <v>2518075</v>
      </c>
      <c r="G154" s="11">
        <f>SUM(G138:G153)</f>
        <v>1356031</v>
      </c>
      <c r="H154" s="11">
        <f>SUM(H138:H153)</f>
        <v>1118492.52</v>
      </c>
      <c r="I154" s="11">
        <f>SUM(I138:I153)</f>
        <v>993021.18502</v>
      </c>
      <c r="J154" s="11">
        <f>SUM(J138:J153)</f>
        <v>735640.7032563752</v>
      </c>
      <c r="K154" s="11">
        <f>SUM(K138:K153)</f>
        <v>597609.5852950416</v>
      </c>
      <c r="L154" s="11">
        <f>SUM(L138:L153)</f>
        <v>553539.0302161449</v>
      </c>
      <c r="M154" s="11">
        <f>SUM(M138:M153)</f>
        <v>178012.31357666827</v>
      </c>
      <c r="N154" s="11">
        <f>SUM(N138:N153)</f>
        <v>128972.40592849329</v>
      </c>
      <c r="O154" s="11"/>
      <c r="P154" s="11"/>
      <c r="Q154" s="11"/>
      <c r="R154" s="11"/>
      <c r="S154" s="11"/>
      <c r="T154" s="11"/>
      <c r="U154" s="11">
        <v>0</v>
      </c>
    </row>
    <row r="155" spans="1:20" ht="14.25">
      <c r="A155" s="3">
        <v>77</v>
      </c>
      <c r="B155" s="23" t="s">
        <v>275</v>
      </c>
      <c r="C155" s="18"/>
      <c r="D155" s="17"/>
      <c r="E155" s="19">
        <f>SUM(F155:T155)</f>
        <v>2823004.1174799697</v>
      </c>
      <c r="F155" s="19">
        <f>F136-F154</f>
        <v>-2518075</v>
      </c>
      <c r="G155" s="19">
        <f>G136-G154</f>
        <v>-1356031</v>
      </c>
      <c r="H155" s="19">
        <f>H136-H154</f>
        <v>-47721.52000000002</v>
      </c>
      <c r="I155" s="19">
        <f>I136-I154</f>
        <v>948822.0234800004</v>
      </c>
      <c r="J155" s="19">
        <f>J136-J154</f>
        <v>894698.4905467501</v>
      </c>
      <c r="K155" s="19">
        <f>K136-K154</f>
        <v>1174136.958830305</v>
      </c>
      <c r="L155" s="19">
        <f>L136-L154</f>
        <v>1892619.5549183963</v>
      </c>
      <c r="M155" s="19">
        <f>M136-M154</f>
        <v>888756.9662289007</v>
      </c>
      <c r="N155" s="19">
        <f>N136-N154</f>
        <v>945797.6434756175</v>
      </c>
      <c r="O155" s="5"/>
      <c r="P155" s="5"/>
      <c r="Q155" s="5"/>
      <c r="R155" s="5"/>
      <c r="S155" s="5"/>
      <c r="T155" s="5"/>
    </row>
    <row r="156" spans="1:20" s="27" customFormat="1" ht="12.75">
      <c r="A156" s="27">
        <v>78</v>
      </c>
      <c r="B156" s="28" t="s">
        <v>150</v>
      </c>
      <c r="C156" s="29"/>
      <c r="D156" s="77"/>
      <c r="E156" s="77">
        <f>SUM(F156:T156)</f>
        <v>60396.95929810458</v>
      </c>
      <c r="F156" s="77">
        <f aca="true" t="shared" si="13" ref="F156:N156">F212</f>
        <v>0</v>
      </c>
      <c r="G156" s="77">
        <f t="shared" si="13"/>
        <v>8414.252365930546</v>
      </c>
      <c r="H156" s="77">
        <f t="shared" si="13"/>
        <v>18527.71632238343</v>
      </c>
      <c r="I156" s="77">
        <f t="shared" si="13"/>
        <v>20084.0721188954</v>
      </c>
      <c r="J156" s="77">
        <f t="shared" si="13"/>
        <v>11662.756316476276</v>
      </c>
      <c r="K156" s="77">
        <f t="shared" si="13"/>
        <v>1708.162174418932</v>
      </c>
      <c r="L156" s="77">
        <f t="shared" si="13"/>
        <v>0</v>
      </c>
      <c r="M156" s="77">
        <f t="shared" si="13"/>
        <v>0</v>
      </c>
      <c r="N156" s="77">
        <f t="shared" si="13"/>
        <v>0</v>
      </c>
      <c r="O156" s="26"/>
      <c r="P156" s="26"/>
      <c r="Q156" s="26"/>
      <c r="R156" s="26"/>
      <c r="S156" s="26"/>
      <c r="T156" s="26"/>
    </row>
    <row r="157" spans="1:20" s="32" customFormat="1" ht="12.75">
      <c r="A157" s="30">
        <v>79</v>
      </c>
      <c r="B157" s="28" t="s">
        <v>151</v>
      </c>
      <c r="C157" s="29"/>
      <c r="D157" s="30"/>
      <c r="E157" s="31">
        <f>SUM(F157:T157)</f>
        <v>43500</v>
      </c>
      <c r="F157" s="31">
        <f>F102</f>
        <v>0</v>
      </c>
      <c r="G157" s="31">
        <f>G102</f>
        <v>15000</v>
      </c>
      <c r="H157" s="31">
        <f>H102</f>
        <v>15000</v>
      </c>
      <c r="I157" s="31">
        <f>I102</f>
        <v>13500</v>
      </c>
      <c r="J157" s="31">
        <f>J102</f>
        <v>0</v>
      </c>
      <c r="K157" s="31">
        <f>K102</f>
        <v>0</v>
      </c>
      <c r="L157" s="31">
        <f>L102</f>
        <v>0</v>
      </c>
      <c r="M157" s="31">
        <f>M102</f>
        <v>0</v>
      </c>
      <c r="N157" s="31">
        <f>N102</f>
        <v>0</v>
      </c>
      <c r="O157" s="31"/>
      <c r="P157" s="31"/>
      <c r="Q157" s="31"/>
      <c r="R157" s="31"/>
      <c r="S157" s="31"/>
      <c r="T157" s="31"/>
    </row>
    <row r="158" spans="1:20" ht="12.75">
      <c r="A158" s="3">
        <v>80</v>
      </c>
      <c r="B158" s="23" t="s">
        <v>132</v>
      </c>
      <c r="C158" s="18"/>
      <c r="D158" s="17"/>
      <c r="E158" s="19">
        <f>SUM(F158:T158)</f>
        <v>2719107.1581818657</v>
      </c>
      <c r="F158" s="19">
        <f>F155-F156-F157</f>
        <v>-2518075</v>
      </c>
      <c r="G158" s="19">
        <f>G155-G156-G157</f>
        <v>-1379445.2523659305</v>
      </c>
      <c r="H158" s="19">
        <f>H155-H156-H157</f>
        <v>-81249.23632238345</v>
      </c>
      <c r="I158" s="19">
        <f>I155-I156-I157</f>
        <v>915237.9513611051</v>
      </c>
      <c r="J158" s="19">
        <f>J155-J156-J157</f>
        <v>883035.7342302739</v>
      </c>
      <c r="K158" s="19">
        <f>K155-K156-K157</f>
        <v>1172428.7966558859</v>
      </c>
      <c r="L158" s="19">
        <f>L155-L156-L157</f>
        <v>1892619.5549183963</v>
      </c>
      <c r="M158" s="19">
        <f>M155-M156-M157</f>
        <v>888756.9662289007</v>
      </c>
      <c r="N158" s="19">
        <f>N155-N156-N157</f>
        <v>945797.6434756175</v>
      </c>
      <c r="O158" s="5"/>
      <c r="P158" s="5"/>
      <c r="Q158" s="5"/>
      <c r="R158" s="5"/>
      <c r="S158" s="5"/>
      <c r="T158" s="5"/>
    </row>
    <row r="159" spans="2:14" ht="12.75">
      <c r="B159" s="44"/>
      <c r="C159" s="17"/>
      <c r="D159" s="17"/>
      <c r="E159" s="17"/>
      <c r="F159" s="17"/>
      <c r="G159" s="17"/>
      <c r="H159" s="17"/>
      <c r="I159" s="17"/>
      <c r="J159" s="17"/>
      <c r="K159" s="17"/>
      <c r="L159" s="17"/>
      <c r="M159" s="17"/>
      <c r="N159" s="17"/>
    </row>
    <row r="160" spans="1:14" ht="12.75">
      <c r="A160" s="3">
        <v>81</v>
      </c>
      <c r="B160" s="23" t="s">
        <v>220</v>
      </c>
      <c r="C160" s="18"/>
      <c r="D160" s="17"/>
      <c r="E160" s="17"/>
      <c r="F160" s="17"/>
      <c r="G160" s="17"/>
      <c r="H160" s="17"/>
      <c r="I160" s="17"/>
      <c r="J160" s="17"/>
      <c r="K160" s="17"/>
      <c r="L160" s="17"/>
      <c r="M160" s="17"/>
      <c r="N160" s="17"/>
    </row>
    <row r="161" spans="1:20" ht="12.75">
      <c r="A161" s="3">
        <v>82</v>
      </c>
      <c r="B161" s="65" t="s">
        <v>222</v>
      </c>
      <c r="C161" s="18"/>
      <c r="D161" s="19"/>
      <c r="E161" s="19">
        <f>SUM(F161:T161)</f>
        <v>2000000</v>
      </c>
      <c r="F161" s="66">
        <v>2000000</v>
      </c>
      <c r="G161" s="66"/>
      <c r="H161" s="66"/>
      <c r="I161" s="66"/>
      <c r="J161" s="66"/>
      <c r="K161" s="66"/>
      <c r="L161" s="66"/>
      <c r="M161" s="66"/>
      <c r="N161" s="66"/>
      <c r="O161" s="2"/>
      <c r="P161" s="2"/>
      <c r="Q161" s="2"/>
      <c r="R161" s="2"/>
      <c r="S161" s="2"/>
      <c r="T161" s="2"/>
    </row>
    <row r="162" spans="1:20" ht="12.75">
      <c r="A162" s="3">
        <v>83</v>
      </c>
      <c r="B162" s="65" t="s">
        <v>221</v>
      </c>
      <c r="C162" s="18"/>
      <c r="D162" s="19"/>
      <c r="E162" s="19">
        <f>SUM(F162:T162)</f>
        <v>1110516.3171236857</v>
      </c>
      <c r="F162" s="19">
        <f aca="true" t="shared" si="14" ref="F162:N162">F215</f>
        <v>0</v>
      </c>
      <c r="G162" s="19">
        <f t="shared" si="14"/>
        <v>897520.2523659306</v>
      </c>
      <c r="H162" s="19">
        <f t="shared" si="14"/>
        <v>181249.23632238345</v>
      </c>
      <c r="I162" s="19">
        <f t="shared" si="14"/>
        <v>20084.0721188954</v>
      </c>
      <c r="J162" s="19">
        <f t="shared" si="14"/>
        <v>11662.756316476276</v>
      </c>
      <c r="K162" s="19">
        <f t="shared" si="14"/>
        <v>0</v>
      </c>
      <c r="L162" s="19">
        <f t="shared" si="14"/>
        <v>0</v>
      </c>
      <c r="M162" s="19">
        <f t="shared" si="14"/>
        <v>0</v>
      </c>
      <c r="N162" s="19">
        <f t="shared" si="14"/>
        <v>0</v>
      </c>
      <c r="O162" s="5"/>
      <c r="P162" s="5"/>
      <c r="Q162" s="5"/>
      <c r="R162" s="5"/>
      <c r="S162" s="5"/>
      <c r="T162" s="5"/>
    </row>
    <row r="163" spans="1:20" ht="12.75">
      <c r="A163" s="3">
        <v>84</v>
      </c>
      <c r="B163" s="65" t="s">
        <v>223</v>
      </c>
      <c r="C163" s="18"/>
      <c r="D163" s="17"/>
      <c r="E163" s="19">
        <f>SUM(F163:T163)</f>
        <v>1000000</v>
      </c>
      <c r="F163" s="19">
        <f>F92</f>
        <v>1000000</v>
      </c>
      <c r="G163" s="19">
        <f>G92</f>
        <v>0</v>
      </c>
      <c r="H163" s="19">
        <f>H92</f>
        <v>0</v>
      </c>
      <c r="I163" s="19">
        <f>I92</f>
        <v>0</v>
      </c>
      <c r="J163" s="19">
        <f>J92</f>
        <v>0</v>
      </c>
      <c r="K163" s="19">
        <f>K92</f>
        <v>0</v>
      </c>
      <c r="L163" s="19">
        <f>L92</f>
        <v>0</v>
      </c>
      <c r="M163" s="19">
        <f>M92</f>
        <v>0</v>
      </c>
      <c r="N163" s="19">
        <f>N92</f>
        <v>0</v>
      </c>
      <c r="O163" s="5"/>
      <c r="P163" s="5"/>
      <c r="Q163" s="5"/>
      <c r="R163" s="5"/>
      <c r="S163" s="5"/>
      <c r="T163" s="5"/>
    </row>
    <row r="164" spans="1:42" ht="12.75">
      <c r="A164" s="3">
        <v>85</v>
      </c>
      <c r="B164" s="65" t="s">
        <v>224</v>
      </c>
      <c r="C164" s="18"/>
      <c r="D164" s="19"/>
      <c r="E164" s="19">
        <f>SUM(F164:T164)</f>
        <v>-1110516.3171236855</v>
      </c>
      <c r="F164" s="19">
        <f aca="true" t="shared" si="15" ref="F164:N164">-F208</f>
        <v>0</v>
      </c>
      <c r="G164" s="19">
        <f t="shared" si="15"/>
        <v>0</v>
      </c>
      <c r="H164" s="19">
        <f t="shared" si="15"/>
        <v>0</v>
      </c>
      <c r="I164" s="19">
        <f t="shared" si="15"/>
        <v>-35322.02348000044</v>
      </c>
      <c r="J164" s="19">
        <f t="shared" si="15"/>
        <v>-894698.4905467501</v>
      </c>
      <c r="K164" s="19">
        <f t="shared" si="15"/>
        <v>-180495.80309693492</v>
      </c>
      <c r="L164" s="19">
        <f t="shared" si="15"/>
        <v>0</v>
      </c>
      <c r="M164" s="19">
        <f t="shared" si="15"/>
        <v>0</v>
      </c>
      <c r="N164" s="19">
        <f t="shared" si="15"/>
        <v>0</v>
      </c>
      <c r="O164" s="5"/>
      <c r="P164" s="5"/>
      <c r="Q164" s="5"/>
      <c r="R164" s="5"/>
      <c r="S164" s="5"/>
      <c r="T164" s="5"/>
      <c r="U164" s="5">
        <v>0</v>
      </c>
      <c r="AM164" s="6" t="s">
        <v>25</v>
      </c>
      <c r="AN164" s="6" t="s">
        <v>26</v>
      </c>
      <c r="AO164" s="6" t="s">
        <v>27</v>
      </c>
      <c r="AP164" s="6" t="s">
        <v>28</v>
      </c>
    </row>
    <row r="165" spans="1:41" s="17" customFormat="1" ht="12.75">
      <c r="A165" s="17">
        <v>86</v>
      </c>
      <c r="B165" s="65" t="s">
        <v>231</v>
      </c>
      <c r="C165" s="18"/>
      <c r="E165" s="11">
        <f>SUM(F165:T165)</f>
        <v>-1000000</v>
      </c>
      <c r="F165" s="11">
        <f>-F97-F99</f>
        <v>0</v>
      </c>
      <c r="G165" s="11">
        <f>-G97-G99</f>
        <v>0</v>
      </c>
      <c r="H165" s="11">
        <f>-H97-H99</f>
        <v>-100000</v>
      </c>
      <c r="I165" s="11">
        <f>-I97-I99</f>
        <v>-900000</v>
      </c>
      <c r="J165" s="11">
        <f>-J97-J99</f>
        <v>0</v>
      </c>
      <c r="K165" s="11">
        <f>-K97-K99</f>
        <v>0</v>
      </c>
      <c r="L165" s="11">
        <f>-L97-L99</f>
        <v>0</v>
      </c>
      <c r="M165" s="11">
        <f>-M97-M99</f>
        <v>0</v>
      </c>
      <c r="N165" s="11">
        <f>-N97-N99</f>
        <v>0</v>
      </c>
      <c r="O165" s="19"/>
      <c r="P165" s="19"/>
      <c r="Q165" s="19"/>
      <c r="R165" s="19"/>
      <c r="S165" s="19"/>
      <c r="T165" s="19"/>
      <c r="U165" s="19">
        <v>0</v>
      </c>
      <c r="AM165" s="18" t="s">
        <v>2</v>
      </c>
      <c r="AN165" s="18" t="s">
        <v>29</v>
      </c>
      <c r="AO165" s="18" t="s">
        <v>2</v>
      </c>
    </row>
    <row r="166" spans="1:40" ht="12.75">
      <c r="A166" s="3">
        <v>87</v>
      </c>
      <c r="B166" s="23" t="s">
        <v>204</v>
      </c>
      <c r="C166" s="18"/>
      <c r="D166" s="19"/>
      <c r="E166" s="19">
        <f>SUM(F166:T166)</f>
        <v>4719107.158181866</v>
      </c>
      <c r="F166" s="19">
        <f>SUM(F158:F165)</f>
        <v>481925</v>
      </c>
      <c r="G166" s="19">
        <f>SUM(G158:G165)</f>
        <v>-481924.9999999999</v>
      </c>
      <c r="H166" s="19">
        <f>SUM(H158:H165)</f>
        <v>0</v>
      </c>
      <c r="I166" s="19">
        <f>SUM(I158:I165)</f>
        <v>0</v>
      </c>
      <c r="J166" s="19">
        <f>SUM(J158:J165)</f>
        <v>0</v>
      </c>
      <c r="K166" s="19">
        <f>SUM(K158:K165)</f>
        <v>991932.993558951</v>
      </c>
      <c r="L166" s="19">
        <f>SUM(L158:L165)</f>
        <v>1892619.5549183963</v>
      </c>
      <c r="M166" s="19">
        <f>SUM(M158:M165)</f>
        <v>888756.9662289007</v>
      </c>
      <c r="N166" s="19">
        <f>SUM(N158:N165)</f>
        <v>945797.6434756175</v>
      </c>
      <c r="O166" s="5"/>
      <c r="P166" s="5"/>
      <c r="Q166" s="5"/>
      <c r="R166" s="5"/>
      <c r="S166" s="5"/>
      <c r="T166" s="5"/>
      <c r="U166" s="5">
        <v>0</v>
      </c>
      <c r="AM166" s="6" t="s">
        <v>2</v>
      </c>
      <c r="AN166" s="6" t="s">
        <v>31</v>
      </c>
    </row>
    <row r="167" spans="1:21" ht="12.75">
      <c r="A167" s="3">
        <v>88</v>
      </c>
      <c r="B167" s="23" t="s">
        <v>205</v>
      </c>
      <c r="C167" s="18"/>
      <c r="D167" s="19"/>
      <c r="E167" s="19">
        <f>N167</f>
        <v>4719107.158181865</v>
      </c>
      <c r="F167" s="19">
        <f>F166</f>
        <v>481925</v>
      </c>
      <c r="G167" s="19">
        <f aca="true" t="shared" si="16" ref="G167:N167">G166+F167</f>
        <v>0</v>
      </c>
      <c r="H167" s="19">
        <f t="shared" si="16"/>
        <v>0</v>
      </c>
      <c r="I167" s="19">
        <f t="shared" si="16"/>
        <v>0</v>
      </c>
      <c r="J167" s="19">
        <f t="shared" si="16"/>
        <v>0</v>
      </c>
      <c r="K167" s="19">
        <f t="shared" si="16"/>
        <v>991932.993558951</v>
      </c>
      <c r="L167" s="19">
        <f t="shared" si="16"/>
        <v>2884552.548477347</v>
      </c>
      <c r="M167" s="19">
        <f t="shared" si="16"/>
        <v>3773309.5147062475</v>
      </c>
      <c r="N167" s="19">
        <f t="shared" si="16"/>
        <v>4719107.158181865</v>
      </c>
      <c r="O167" s="5"/>
      <c r="P167" s="5"/>
      <c r="Q167" s="5"/>
      <c r="R167" s="5"/>
      <c r="S167" s="5"/>
      <c r="T167" s="5"/>
      <c r="U167" s="5">
        <v>0</v>
      </c>
    </row>
    <row r="168" spans="2:21" ht="12.75">
      <c r="B168" s="44"/>
      <c r="C168" s="17"/>
      <c r="D168" s="19"/>
      <c r="E168" s="18" t="s">
        <v>2</v>
      </c>
      <c r="F168" s="17"/>
      <c r="G168" s="17"/>
      <c r="H168" s="17"/>
      <c r="I168" s="17"/>
      <c r="J168" s="17"/>
      <c r="K168" s="17"/>
      <c r="L168" s="17"/>
      <c r="M168" s="17"/>
      <c r="N168" s="17"/>
      <c r="U168" s="5">
        <v>0</v>
      </c>
    </row>
    <row r="169" spans="2:20" ht="12.75">
      <c r="B169" s="115" t="s">
        <v>244</v>
      </c>
      <c r="C169" s="107"/>
      <c r="D169" s="107"/>
      <c r="E169" s="107"/>
      <c r="F169" s="107"/>
      <c r="G169" s="107"/>
      <c r="H169" s="107"/>
      <c r="I169" s="107"/>
      <c r="J169" s="107"/>
      <c r="K169" s="107"/>
      <c r="L169" s="107"/>
      <c r="M169" s="107"/>
      <c r="N169" s="107"/>
      <c r="O169" s="8"/>
      <c r="P169" s="8"/>
      <c r="Q169" s="8"/>
      <c r="R169" s="8"/>
      <c r="S169" s="8"/>
      <c r="T169" s="8"/>
    </row>
    <row r="170" spans="2:20" ht="12.75">
      <c r="B170" s="24"/>
      <c r="C170" s="25"/>
      <c r="D170" s="25"/>
      <c r="E170" s="25"/>
      <c r="F170" s="25"/>
      <c r="G170" s="25"/>
      <c r="H170" s="25"/>
      <c r="I170" s="25"/>
      <c r="J170" s="25"/>
      <c r="K170" s="25"/>
      <c r="L170" s="25"/>
      <c r="M170" s="25"/>
      <c r="N170" s="25"/>
      <c r="O170" s="8"/>
      <c r="P170" s="8"/>
      <c r="Q170" s="8"/>
      <c r="R170" s="8"/>
      <c r="S170" s="8"/>
      <c r="T170" s="8"/>
    </row>
    <row r="171" spans="2:20" ht="12.75">
      <c r="B171" s="106" t="s">
        <v>243</v>
      </c>
      <c r="C171" s="107"/>
      <c r="D171" s="107"/>
      <c r="E171" s="107"/>
      <c r="F171" s="107"/>
      <c r="G171" s="107"/>
      <c r="H171" s="107"/>
      <c r="I171" s="107"/>
      <c r="J171" s="107"/>
      <c r="K171" s="107"/>
      <c r="L171" s="107"/>
      <c r="M171" s="107"/>
      <c r="N171" s="107"/>
      <c r="O171" s="8"/>
      <c r="P171" s="8"/>
      <c r="Q171" s="8"/>
      <c r="R171" s="8"/>
      <c r="S171" s="8"/>
      <c r="T171" s="8"/>
    </row>
    <row r="172" spans="2:20" ht="12.75">
      <c r="B172" s="24"/>
      <c r="C172" s="25"/>
      <c r="D172" s="25"/>
      <c r="E172" s="25"/>
      <c r="F172" s="25"/>
      <c r="G172" s="25"/>
      <c r="H172" s="25"/>
      <c r="I172" s="25"/>
      <c r="J172" s="25"/>
      <c r="K172" s="25"/>
      <c r="L172" s="25"/>
      <c r="M172" s="25"/>
      <c r="N172" s="25"/>
      <c r="O172" s="8"/>
      <c r="P172" s="8"/>
      <c r="Q172" s="8"/>
      <c r="R172" s="8"/>
      <c r="S172" s="8"/>
      <c r="T172" s="8"/>
    </row>
    <row r="173" spans="2:20" ht="12.75">
      <c r="B173" s="106" t="s">
        <v>242</v>
      </c>
      <c r="C173" s="107"/>
      <c r="D173" s="107"/>
      <c r="E173" s="107"/>
      <c r="F173" s="107"/>
      <c r="G173" s="107"/>
      <c r="H173" s="107"/>
      <c r="I173" s="107"/>
      <c r="J173" s="107"/>
      <c r="K173" s="107"/>
      <c r="L173" s="107"/>
      <c r="M173" s="107"/>
      <c r="N173" s="107"/>
      <c r="O173" s="8"/>
      <c r="P173" s="8"/>
      <c r="Q173" s="8"/>
      <c r="R173" s="8"/>
      <c r="S173" s="8"/>
      <c r="T173" s="8"/>
    </row>
    <row r="174" spans="2:20" ht="12.75">
      <c r="B174" s="24"/>
      <c r="C174" s="25"/>
      <c r="D174" s="25"/>
      <c r="E174" s="25"/>
      <c r="F174" s="25"/>
      <c r="G174" s="25"/>
      <c r="H174" s="25"/>
      <c r="I174" s="25"/>
      <c r="J174" s="25"/>
      <c r="K174" s="25"/>
      <c r="L174" s="25"/>
      <c r="M174" s="25"/>
      <c r="N174" s="25"/>
      <c r="O174" s="8"/>
      <c r="P174" s="8"/>
      <c r="Q174" s="8"/>
      <c r="R174" s="8"/>
      <c r="S174" s="8"/>
      <c r="T174" s="8"/>
    </row>
    <row r="175" spans="2:20" ht="12.75">
      <c r="B175" s="106" t="s">
        <v>241</v>
      </c>
      <c r="C175" s="107"/>
      <c r="D175" s="107"/>
      <c r="E175" s="107"/>
      <c r="F175" s="107"/>
      <c r="G175" s="107"/>
      <c r="H175" s="107"/>
      <c r="I175" s="107"/>
      <c r="J175" s="107"/>
      <c r="K175" s="107"/>
      <c r="L175" s="107"/>
      <c r="M175" s="107"/>
      <c r="N175" s="107"/>
      <c r="O175" s="8"/>
      <c r="P175" s="8"/>
      <c r="Q175" s="8"/>
      <c r="R175" s="8"/>
      <c r="S175" s="8"/>
      <c r="T175" s="8"/>
    </row>
    <row r="176" spans="2:20" ht="12.75">
      <c r="B176" s="106" t="s">
        <v>240</v>
      </c>
      <c r="C176" s="107"/>
      <c r="D176" s="107"/>
      <c r="E176" s="107"/>
      <c r="F176" s="107"/>
      <c r="G176" s="107"/>
      <c r="H176" s="107"/>
      <c r="I176" s="107"/>
      <c r="J176" s="107"/>
      <c r="K176" s="107"/>
      <c r="L176" s="107"/>
      <c r="M176" s="107"/>
      <c r="N176" s="107"/>
      <c r="O176" s="8"/>
      <c r="P176" s="8"/>
      <c r="Q176" s="8"/>
      <c r="R176" s="8"/>
      <c r="S176" s="8"/>
      <c r="T176" s="8"/>
    </row>
    <row r="177" spans="2:20" ht="12.75">
      <c r="B177" s="108"/>
      <c r="C177" s="107"/>
      <c r="D177" s="107"/>
      <c r="E177" s="107"/>
      <c r="F177" s="107"/>
      <c r="G177" s="107"/>
      <c r="H177" s="107"/>
      <c r="I177" s="107"/>
      <c r="J177" s="107"/>
      <c r="K177" s="107"/>
      <c r="L177" s="107"/>
      <c r="M177" s="107"/>
      <c r="N177" s="107"/>
      <c r="O177" s="8"/>
      <c r="P177" s="8"/>
      <c r="Q177" s="8"/>
      <c r="R177" s="8"/>
      <c r="S177" s="8"/>
      <c r="T177" s="8"/>
    </row>
    <row r="178" spans="2:20" ht="12.75">
      <c r="B178" s="108"/>
      <c r="C178" s="107"/>
      <c r="D178" s="107"/>
      <c r="E178" s="107"/>
      <c r="F178" s="107"/>
      <c r="G178" s="107"/>
      <c r="H178" s="107"/>
      <c r="I178" s="107"/>
      <c r="J178" s="107"/>
      <c r="K178" s="107"/>
      <c r="L178" s="107"/>
      <c r="M178" s="107"/>
      <c r="N178" s="107"/>
      <c r="O178" s="8"/>
      <c r="P178" s="8"/>
      <c r="Q178" s="8"/>
      <c r="R178" s="8"/>
      <c r="S178" s="8"/>
      <c r="T178" s="8"/>
    </row>
    <row r="179" spans="2:20" ht="12.75">
      <c r="B179" s="115" t="s">
        <v>253</v>
      </c>
      <c r="C179" s="107"/>
      <c r="D179" s="107"/>
      <c r="E179" s="107"/>
      <c r="F179" s="107"/>
      <c r="G179" s="107"/>
      <c r="H179" s="107"/>
      <c r="I179" s="107"/>
      <c r="J179" s="107"/>
      <c r="K179" s="107"/>
      <c r="L179" s="107"/>
      <c r="M179" s="107"/>
      <c r="N179" s="107"/>
      <c r="O179" s="8"/>
      <c r="P179" s="8"/>
      <c r="Q179" s="8"/>
      <c r="R179" s="8"/>
      <c r="S179" s="8"/>
      <c r="T179" s="8"/>
    </row>
    <row r="180" spans="2:20" ht="12.75">
      <c r="B180" s="108"/>
      <c r="C180" s="107"/>
      <c r="D180" s="107"/>
      <c r="E180" s="107"/>
      <c r="F180" s="107"/>
      <c r="G180" s="107"/>
      <c r="H180" s="107"/>
      <c r="I180" s="107"/>
      <c r="J180" s="107"/>
      <c r="K180" s="107"/>
      <c r="L180" s="107"/>
      <c r="M180" s="107"/>
      <c r="N180" s="107"/>
      <c r="O180" s="8"/>
      <c r="P180" s="8"/>
      <c r="Q180" s="8"/>
      <c r="R180" s="8"/>
      <c r="S180" s="8"/>
      <c r="T180" s="8"/>
    </row>
    <row r="181" spans="2:20" ht="12.75">
      <c r="B181" s="108"/>
      <c r="C181" s="107"/>
      <c r="D181" s="107"/>
      <c r="E181" s="107"/>
      <c r="F181" s="107"/>
      <c r="G181" s="107"/>
      <c r="H181" s="107"/>
      <c r="I181" s="107"/>
      <c r="J181" s="107"/>
      <c r="K181" s="107"/>
      <c r="L181" s="107"/>
      <c r="M181" s="107"/>
      <c r="N181" s="107"/>
      <c r="O181" s="8"/>
      <c r="P181" s="8"/>
      <c r="Q181" s="8"/>
      <c r="R181" s="8"/>
      <c r="S181" s="8"/>
      <c r="T181" s="8"/>
    </row>
    <row r="182" spans="2:20" ht="12.75">
      <c r="B182" s="106" t="s">
        <v>239</v>
      </c>
      <c r="C182" s="107"/>
      <c r="D182" s="107"/>
      <c r="E182" s="107"/>
      <c r="F182" s="107"/>
      <c r="G182" s="107"/>
      <c r="H182" s="107"/>
      <c r="I182" s="107"/>
      <c r="J182" s="107"/>
      <c r="K182" s="107"/>
      <c r="L182" s="107"/>
      <c r="M182" s="107"/>
      <c r="N182" s="107"/>
      <c r="O182" s="8"/>
      <c r="P182" s="8"/>
      <c r="Q182" s="8"/>
      <c r="R182" s="8"/>
      <c r="S182" s="8"/>
      <c r="T182" s="8"/>
    </row>
    <row r="183" spans="2:20" ht="12.75">
      <c r="B183" s="108"/>
      <c r="C183" s="107"/>
      <c r="D183" s="107"/>
      <c r="E183" s="107"/>
      <c r="F183" s="107"/>
      <c r="G183" s="107"/>
      <c r="H183" s="107"/>
      <c r="I183" s="107"/>
      <c r="J183" s="107"/>
      <c r="K183" s="107"/>
      <c r="L183" s="107"/>
      <c r="M183" s="107"/>
      <c r="N183" s="107"/>
      <c r="O183" s="8"/>
      <c r="P183" s="8"/>
      <c r="Q183" s="8"/>
      <c r="R183" s="8"/>
      <c r="S183" s="8"/>
      <c r="T183" s="8"/>
    </row>
    <row r="184" spans="2:20" ht="12.75">
      <c r="B184" s="108"/>
      <c r="C184" s="107"/>
      <c r="D184" s="107"/>
      <c r="E184" s="107"/>
      <c r="F184" s="107"/>
      <c r="G184" s="107"/>
      <c r="H184" s="107"/>
      <c r="I184" s="107"/>
      <c r="J184" s="107"/>
      <c r="K184" s="107"/>
      <c r="L184" s="107"/>
      <c r="M184" s="107"/>
      <c r="N184" s="107"/>
      <c r="O184" s="8"/>
      <c r="P184" s="8"/>
      <c r="Q184" s="8"/>
      <c r="R184" s="8"/>
      <c r="S184" s="8"/>
      <c r="T184" s="8"/>
    </row>
    <row r="185" spans="2:20" ht="12.75">
      <c r="B185" s="24"/>
      <c r="C185" s="25"/>
      <c r="D185" s="25"/>
      <c r="E185" s="25"/>
      <c r="F185" s="25"/>
      <c r="G185" s="25"/>
      <c r="H185" s="25"/>
      <c r="I185" s="25"/>
      <c r="J185" s="25"/>
      <c r="K185" s="25"/>
      <c r="L185" s="25"/>
      <c r="M185" s="25"/>
      <c r="N185" s="25"/>
      <c r="O185" s="8"/>
      <c r="P185" s="8"/>
      <c r="Q185" s="8"/>
      <c r="R185" s="8"/>
      <c r="S185" s="8"/>
      <c r="T185" s="8"/>
    </row>
    <row r="186" spans="2:14" ht="15.75">
      <c r="B186" s="129" t="s">
        <v>206</v>
      </c>
      <c r="C186" s="130"/>
      <c r="D186" s="130"/>
      <c r="E186" s="130"/>
      <c r="F186" s="130"/>
      <c r="G186" s="130"/>
      <c r="H186" s="130"/>
      <c r="I186" s="130"/>
      <c r="J186" s="130"/>
      <c r="K186" s="130"/>
      <c r="L186" s="130"/>
      <c r="M186" s="130"/>
      <c r="N186" s="130"/>
    </row>
    <row r="187" spans="2:14" ht="15.75">
      <c r="B187" s="129" t="s">
        <v>108</v>
      </c>
      <c r="C187" s="130"/>
      <c r="D187" s="130"/>
      <c r="E187" s="130"/>
      <c r="F187" s="130"/>
      <c r="G187" s="130"/>
      <c r="H187" s="130"/>
      <c r="I187" s="130"/>
      <c r="J187" s="130"/>
      <c r="K187" s="130"/>
      <c r="L187" s="130"/>
      <c r="M187" s="130"/>
      <c r="N187" s="130"/>
    </row>
    <row r="188" spans="2:21" ht="12.75">
      <c r="B188" s="44"/>
      <c r="C188" s="17"/>
      <c r="D188" s="17"/>
      <c r="E188" s="17"/>
      <c r="F188" s="17"/>
      <c r="G188" s="17"/>
      <c r="H188" s="17"/>
      <c r="I188" s="17"/>
      <c r="J188" s="17"/>
      <c r="K188" s="17"/>
      <c r="L188" s="17"/>
      <c r="M188" s="17"/>
      <c r="N188" s="17"/>
      <c r="U188" s="5">
        <v>0</v>
      </c>
    </row>
    <row r="189" spans="1:14" ht="12.75">
      <c r="A189" s="3">
        <v>89</v>
      </c>
      <c r="B189" s="23" t="s">
        <v>209</v>
      </c>
      <c r="C189" s="18"/>
      <c r="D189" s="17"/>
      <c r="E189" s="17"/>
      <c r="F189" s="17"/>
      <c r="G189" s="17"/>
      <c r="H189" s="17"/>
      <c r="I189" s="17"/>
      <c r="J189" s="17"/>
      <c r="K189" s="17"/>
      <c r="L189" s="17"/>
      <c r="M189" s="17"/>
      <c r="N189" s="17"/>
    </row>
    <row r="190" spans="1:20" s="15" customFormat="1" ht="12.75">
      <c r="A190" s="17">
        <v>90</v>
      </c>
      <c r="B190" s="23" t="s">
        <v>210</v>
      </c>
      <c r="C190" s="18"/>
      <c r="D190" s="19"/>
      <c r="E190" s="13" t="s">
        <v>0</v>
      </c>
      <c r="F190" s="21">
        <v>0</v>
      </c>
      <c r="G190" s="11">
        <v>1</v>
      </c>
      <c r="H190" s="11">
        <v>2</v>
      </c>
      <c r="I190" s="11">
        <v>3</v>
      </c>
      <c r="J190" s="11">
        <v>4</v>
      </c>
      <c r="K190" s="11">
        <v>5</v>
      </c>
      <c r="L190" s="11">
        <v>6</v>
      </c>
      <c r="M190" s="11">
        <v>7</v>
      </c>
      <c r="N190" s="11">
        <v>8</v>
      </c>
      <c r="O190" s="11"/>
      <c r="P190" s="11"/>
      <c r="Q190" s="11"/>
      <c r="R190" s="11"/>
      <c r="S190" s="11"/>
      <c r="T190" s="11"/>
    </row>
    <row r="191" spans="1:20" ht="12.75">
      <c r="A191" s="3">
        <v>91</v>
      </c>
      <c r="B191" s="65"/>
      <c r="C191" s="18"/>
      <c r="D191" s="17"/>
      <c r="E191" s="45" t="s">
        <v>1</v>
      </c>
      <c r="F191" s="45" t="s">
        <v>1</v>
      </c>
      <c r="G191" s="45" t="s">
        <v>1</v>
      </c>
      <c r="H191" s="45" t="s">
        <v>1</v>
      </c>
      <c r="I191" s="45" t="s">
        <v>1</v>
      </c>
      <c r="J191" s="45" t="s">
        <v>1</v>
      </c>
      <c r="K191" s="45" t="s">
        <v>1</v>
      </c>
      <c r="L191" s="45" t="s">
        <v>1</v>
      </c>
      <c r="M191" s="45" t="s">
        <v>1</v>
      </c>
      <c r="N191" s="45" t="s">
        <v>1</v>
      </c>
      <c r="O191" s="4"/>
      <c r="P191" s="4"/>
      <c r="Q191" s="4"/>
      <c r="R191" s="4"/>
      <c r="S191" s="4"/>
      <c r="T191" s="4"/>
    </row>
    <row r="192" spans="1:20" ht="12.75">
      <c r="A192" s="3">
        <v>92</v>
      </c>
      <c r="B192" s="65" t="s">
        <v>152</v>
      </c>
      <c r="C192" s="18"/>
      <c r="D192" s="17"/>
      <c r="E192" s="17"/>
      <c r="F192" s="90">
        <v>0</v>
      </c>
      <c r="G192" s="90">
        <f aca="true" t="shared" si="17" ref="G192:N192">F204</f>
        <v>481925</v>
      </c>
      <c r="H192" s="90">
        <f t="shared" si="17"/>
        <v>0</v>
      </c>
      <c r="I192" s="90">
        <f t="shared" si="17"/>
        <v>0</v>
      </c>
      <c r="J192" s="90">
        <f t="shared" si="17"/>
        <v>0</v>
      </c>
      <c r="K192" s="90">
        <f t="shared" si="17"/>
        <v>0</v>
      </c>
      <c r="L192" s="90">
        <f t="shared" si="17"/>
        <v>991932.9935589511</v>
      </c>
      <c r="M192" s="90">
        <f t="shared" si="17"/>
        <v>2884552.5484773475</v>
      </c>
      <c r="N192" s="90">
        <f t="shared" si="17"/>
        <v>3773309.5147062484</v>
      </c>
      <c r="O192" s="5"/>
      <c r="P192" s="5"/>
      <c r="Q192" s="5"/>
      <c r="R192" s="5"/>
      <c r="S192" s="5"/>
      <c r="T192" s="5"/>
    </row>
    <row r="193" spans="1:20" ht="12.75">
      <c r="A193" s="3">
        <v>93</v>
      </c>
      <c r="B193" s="65" t="s">
        <v>153</v>
      </c>
      <c r="C193" s="18"/>
      <c r="D193" s="17"/>
      <c r="E193" s="19">
        <f>SUM(F193:T193)</f>
        <v>2000000</v>
      </c>
      <c r="F193" s="90">
        <f>F161</f>
        <v>2000000</v>
      </c>
      <c r="G193" s="90">
        <f>G161</f>
        <v>0</v>
      </c>
      <c r="H193" s="90">
        <f>H161</f>
        <v>0</v>
      </c>
      <c r="I193" s="90">
        <f>I161</f>
        <v>0</v>
      </c>
      <c r="J193" s="90">
        <f>J161</f>
        <v>0</v>
      </c>
      <c r="K193" s="90">
        <f>K161</f>
        <v>0</v>
      </c>
      <c r="L193" s="90">
        <f>L161</f>
        <v>0</v>
      </c>
      <c r="M193" s="90">
        <f>M161</f>
        <v>0</v>
      </c>
      <c r="N193" s="90">
        <f>N161</f>
        <v>0</v>
      </c>
      <c r="O193" s="5"/>
      <c r="P193" s="5"/>
      <c r="Q193" s="5"/>
      <c r="R193" s="5"/>
      <c r="S193" s="5"/>
      <c r="T193" s="5"/>
    </row>
    <row r="194" spans="1:20" ht="12.75">
      <c r="A194" s="3">
        <v>94</v>
      </c>
      <c r="B194" s="65" t="s">
        <v>124</v>
      </c>
      <c r="C194" s="18"/>
      <c r="D194" s="17"/>
      <c r="E194" s="19">
        <f>SUM(F194:T194)</f>
        <v>2823004.1174799697</v>
      </c>
      <c r="F194" s="90">
        <f>F155</f>
        <v>-2518075</v>
      </c>
      <c r="G194" s="90">
        <f>G155</f>
        <v>-1356031</v>
      </c>
      <c r="H194" s="90">
        <f>H155</f>
        <v>-47721.52000000002</v>
      </c>
      <c r="I194" s="90">
        <f>I155</f>
        <v>948822.0234800004</v>
      </c>
      <c r="J194" s="90">
        <f>J155</f>
        <v>894698.4905467501</v>
      </c>
      <c r="K194" s="90">
        <f>K155</f>
        <v>1174136.958830305</v>
      </c>
      <c r="L194" s="90">
        <f>L155</f>
        <v>1892619.5549183963</v>
      </c>
      <c r="M194" s="90">
        <f>M155</f>
        <v>888756.9662289007</v>
      </c>
      <c r="N194" s="90">
        <f>N155</f>
        <v>945797.6434756175</v>
      </c>
      <c r="O194" s="5"/>
      <c r="P194" s="5"/>
      <c r="Q194" s="5"/>
      <c r="R194" s="5"/>
      <c r="S194" s="5"/>
      <c r="T194" s="5"/>
    </row>
    <row r="195" spans="1:20" ht="12.75">
      <c r="A195" s="3">
        <v>95</v>
      </c>
      <c r="B195" s="65" t="s">
        <v>138</v>
      </c>
      <c r="C195" s="18"/>
      <c r="D195" s="17"/>
      <c r="E195" s="11">
        <f>SUM(F195:T195)</f>
        <v>-43500</v>
      </c>
      <c r="F195" s="22">
        <f>-F103</f>
        <v>1000000</v>
      </c>
      <c r="G195" s="22">
        <f>-G103</f>
        <v>-15000</v>
      </c>
      <c r="H195" s="22">
        <f>-H103</f>
        <v>-115000</v>
      </c>
      <c r="I195" s="22">
        <f>-I103</f>
        <v>-913500</v>
      </c>
      <c r="J195" s="22">
        <f>-J103</f>
        <v>0</v>
      </c>
      <c r="K195" s="22">
        <f>-K103</f>
        <v>0</v>
      </c>
      <c r="L195" s="22">
        <f>-L103</f>
        <v>0</v>
      </c>
      <c r="M195" s="22">
        <f>-M103</f>
        <v>0</v>
      </c>
      <c r="N195" s="22">
        <f>-N103</f>
        <v>0</v>
      </c>
      <c r="O195" s="5"/>
      <c r="P195" s="5"/>
      <c r="Q195" s="5"/>
      <c r="R195" s="5"/>
      <c r="S195" s="5"/>
      <c r="T195" s="5"/>
    </row>
    <row r="196" spans="2:20" ht="12.75">
      <c r="B196" s="44"/>
      <c r="C196" s="17"/>
      <c r="D196" s="17"/>
      <c r="E196" s="18"/>
      <c r="F196" s="91"/>
      <c r="G196" s="91"/>
      <c r="H196" s="91"/>
      <c r="I196" s="91"/>
      <c r="J196" s="91"/>
      <c r="K196" s="91"/>
      <c r="L196" s="91"/>
      <c r="M196" s="91"/>
      <c r="N196" s="91"/>
      <c r="O196" s="6"/>
      <c r="P196" s="6"/>
      <c r="Q196" s="6"/>
      <c r="R196" s="6"/>
      <c r="S196" s="6"/>
      <c r="T196" s="6"/>
    </row>
    <row r="197" spans="1:20" ht="12.75">
      <c r="A197" s="3">
        <v>96</v>
      </c>
      <c r="B197" s="65" t="s">
        <v>88</v>
      </c>
      <c r="C197" s="18"/>
      <c r="D197" s="17"/>
      <c r="E197" s="19">
        <f aca="true" t="shared" si="18" ref="E197:N197">SUM(E192:E196)</f>
        <v>4779504.11747997</v>
      </c>
      <c r="F197" s="90">
        <f t="shared" si="18"/>
        <v>481925</v>
      </c>
      <c r="G197" s="90">
        <f t="shared" si="18"/>
        <v>-889106</v>
      </c>
      <c r="H197" s="90">
        <f t="shared" si="18"/>
        <v>-162721.52000000002</v>
      </c>
      <c r="I197" s="90">
        <f t="shared" si="18"/>
        <v>35322.02348000044</v>
      </c>
      <c r="J197" s="90">
        <f t="shared" si="18"/>
        <v>894698.4905467501</v>
      </c>
      <c r="K197" s="90">
        <f t="shared" si="18"/>
        <v>1174136.958830305</v>
      </c>
      <c r="L197" s="90">
        <f t="shared" si="18"/>
        <v>2884552.5484773475</v>
      </c>
      <c r="M197" s="90">
        <f t="shared" si="18"/>
        <v>3773309.5147062484</v>
      </c>
      <c r="N197" s="90">
        <f t="shared" si="18"/>
        <v>4719107.158181866</v>
      </c>
      <c r="O197" s="5"/>
      <c r="P197" s="5"/>
      <c r="Q197" s="5"/>
      <c r="R197" s="5"/>
      <c r="S197" s="5"/>
      <c r="T197" s="5"/>
    </row>
    <row r="198" spans="2:21" ht="12.75">
      <c r="B198" s="44"/>
      <c r="C198" s="17"/>
      <c r="D198" s="17"/>
      <c r="E198" s="17"/>
      <c r="F198" s="92"/>
      <c r="G198" s="92"/>
      <c r="H198" s="92"/>
      <c r="I198" s="92"/>
      <c r="J198" s="92"/>
      <c r="K198" s="92"/>
      <c r="L198" s="92"/>
      <c r="M198" s="92"/>
      <c r="N198" s="92"/>
      <c r="U198" s="5">
        <v>0</v>
      </c>
    </row>
    <row r="199" spans="1:21" ht="12.75">
      <c r="A199" s="3">
        <v>97</v>
      </c>
      <c r="B199" s="65" t="s">
        <v>211</v>
      </c>
      <c r="C199" s="18"/>
      <c r="D199" s="17"/>
      <c r="E199" s="19">
        <f>SUM(F199:T199)</f>
        <v>1051827.52</v>
      </c>
      <c r="F199" s="90">
        <f aca="true" t="shared" si="19" ref="F199:N199">-MINA(0,F197)</f>
        <v>0</v>
      </c>
      <c r="G199" s="90">
        <f t="shared" si="19"/>
        <v>889106</v>
      </c>
      <c r="H199" s="90">
        <f t="shared" si="19"/>
        <v>162721.52000000002</v>
      </c>
      <c r="I199" s="90">
        <f t="shared" si="19"/>
        <v>0</v>
      </c>
      <c r="J199" s="90">
        <f t="shared" si="19"/>
        <v>0</v>
      </c>
      <c r="K199" s="90">
        <f t="shared" si="19"/>
        <v>0</v>
      </c>
      <c r="L199" s="90">
        <f t="shared" si="19"/>
        <v>0</v>
      </c>
      <c r="M199" s="90">
        <f t="shared" si="19"/>
        <v>0</v>
      </c>
      <c r="N199" s="90">
        <f t="shared" si="19"/>
        <v>0</v>
      </c>
      <c r="O199" s="5"/>
      <c r="P199" s="5"/>
      <c r="Q199" s="5"/>
      <c r="R199" s="5"/>
      <c r="S199" s="5"/>
      <c r="T199" s="5"/>
      <c r="U199" s="5">
        <v>0</v>
      </c>
    </row>
    <row r="200" spans="1:20" ht="12.75">
      <c r="A200" s="3">
        <v>98</v>
      </c>
      <c r="B200" s="65" t="s">
        <v>154</v>
      </c>
      <c r="C200" s="18"/>
      <c r="D200" s="19"/>
      <c r="E200" s="18" t="s">
        <v>2</v>
      </c>
      <c r="F200" s="90">
        <f aca="true" t="shared" si="20" ref="F200:N200">MAXA(0,F197)</f>
        <v>481925</v>
      </c>
      <c r="G200" s="90">
        <f t="shared" si="20"/>
        <v>0</v>
      </c>
      <c r="H200" s="90">
        <f t="shared" si="20"/>
        <v>0</v>
      </c>
      <c r="I200" s="90">
        <f t="shared" si="20"/>
        <v>35322.02348000044</v>
      </c>
      <c r="J200" s="90">
        <f t="shared" si="20"/>
        <v>894698.4905467501</v>
      </c>
      <c r="K200" s="90">
        <f t="shared" si="20"/>
        <v>1174136.958830305</v>
      </c>
      <c r="L200" s="90">
        <f t="shared" si="20"/>
        <v>2884552.5484773475</v>
      </c>
      <c r="M200" s="90">
        <f t="shared" si="20"/>
        <v>3773309.5147062484</v>
      </c>
      <c r="N200" s="90">
        <f t="shared" si="20"/>
        <v>4719107.158181866</v>
      </c>
      <c r="O200" s="5"/>
      <c r="P200" s="5"/>
      <c r="Q200" s="5"/>
      <c r="R200" s="5"/>
      <c r="S200" s="5"/>
      <c r="T200" s="5"/>
    </row>
    <row r="201" spans="2:14" ht="12.75">
      <c r="B201" s="44"/>
      <c r="C201" s="17"/>
      <c r="D201" s="17"/>
      <c r="E201" s="18" t="s">
        <v>2</v>
      </c>
      <c r="F201" s="92"/>
      <c r="G201" s="92"/>
      <c r="H201" s="92"/>
      <c r="I201" s="92"/>
      <c r="J201" s="92"/>
      <c r="K201" s="92"/>
      <c r="L201" s="92"/>
      <c r="M201" s="92"/>
      <c r="N201" s="92"/>
    </row>
    <row r="202" spans="1:20" ht="12.75">
      <c r="A202" s="3">
        <v>99</v>
      </c>
      <c r="B202" s="65" t="s">
        <v>155</v>
      </c>
      <c r="C202" s="18"/>
      <c r="D202" s="17"/>
      <c r="E202" s="19">
        <f>SUM(F202:T202)</f>
        <v>1110516.3171236855</v>
      </c>
      <c r="F202" s="90">
        <f aca="true" t="shared" si="21" ref="F202:N202">F208</f>
        <v>0</v>
      </c>
      <c r="G202" s="90">
        <f t="shared" si="21"/>
        <v>0</v>
      </c>
      <c r="H202" s="90">
        <f t="shared" si="21"/>
        <v>0</v>
      </c>
      <c r="I202" s="90">
        <f t="shared" si="21"/>
        <v>35322.02348000044</v>
      </c>
      <c r="J202" s="90">
        <f t="shared" si="21"/>
        <v>894698.4905467501</v>
      </c>
      <c r="K202" s="90">
        <f t="shared" si="21"/>
        <v>180495.80309693492</v>
      </c>
      <c r="L202" s="90">
        <f t="shared" si="21"/>
        <v>0</v>
      </c>
      <c r="M202" s="90">
        <f t="shared" si="21"/>
        <v>0</v>
      </c>
      <c r="N202" s="90">
        <f t="shared" si="21"/>
        <v>0</v>
      </c>
      <c r="O202" s="5"/>
      <c r="P202" s="5"/>
      <c r="Q202" s="5"/>
      <c r="R202" s="5"/>
      <c r="S202" s="5"/>
      <c r="T202" s="5"/>
    </row>
    <row r="203" spans="1:20" ht="12.75">
      <c r="A203" s="3">
        <v>100</v>
      </c>
      <c r="B203" s="65" t="s">
        <v>156</v>
      </c>
      <c r="C203" s="18"/>
      <c r="D203" s="17"/>
      <c r="E203" s="19">
        <f>SUM(F203:T203)</f>
        <v>1708.162174418932</v>
      </c>
      <c r="F203" s="90">
        <f>MINA(F200-F202,F212)</f>
        <v>0</v>
      </c>
      <c r="G203" s="90">
        <f>MINA(G200-G202,G212)</f>
        <v>0</v>
      </c>
      <c r="H203" s="90">
        <f>MINA(H200-H202,H212)</f>
        <v>0</v>
      </c>
      <c r="I203" s="90">
        <f>MINA(I200-I202,I212)</f>
        <v>0</v>
      </c>
      <c r="J203" s="90">
        <f>MINA(J200-J202,J212)</f>
        <v>0</v>
      </c>
      <c r="K203" s="90">
        <f>MINA(K200-K202,K212)</f>
        <v>1708.162174418932</v>
      </c>
      <c r="L203" s="90">
        <f>MINA(L200-L202,L212)</f>
        <v>0</v>
      </c>
      <c r="M203" s="90">
        <f>MINA(M200-M202,M212)</f>
        <v>0</v>
      </c>
      <c r="N203" s="90">
        <f>MINA(N200-N202,N212)</f>
        <v>0</v>
      </c>
      <c r="O203" s="5"/>
      <c r="P203" s="5"/>
      <c r="Q203" s="5"/>
      <c r="R203" s="5"/>
      <c r="S203" s="5"/>
      <c r="T203" s="5"/>
    </row>
    <row r="204" spans="1:20" ht="12.75">
      <c r="A204" s="3">
        <v>101</v>
      </c>
      <c r="B204" s="65" t="s">
        <v>157</v>
      </c>
      <c r="C204" s="18"/>
      <c r="D204" s="17"/>
      <c r="E204" s="19">
        <f>N204</f>
        <v>4719107.158181866</v>
      </c>
      <c r="F204" s="90">
        <f aca="true" t="shared" si="22" ref="F204:N204">F200-F202-F203</f>
        <v>481925</v>
      </c>
      <c r="G204" s="90">
        <f t="shared" si="22"/>
        <v>0</v>
      </c>
      <c r="H204" s="90">
        <f t="shared" si="22"/>
        <v>0</v>
      </c>
      <c r="I204" s="90">
        <f t="shared" si="22"/>
        <v>0</v>
      </c>
      <c r="J204" s="90">
        <f t="shared" si="22"/>
        <v>0</v>
      </c>
      <c r="K204" s="90">
        <f t="shared" si="22"/>
        <v>991932.9935589511</v>
      </c>
      <c r="L204" s="90">
        <f t="shared" si="22"/>
        <v>2884552.5484773475</v>
      </c>
      <c r="M204" s="90">
        <f t="shared" si="22"/>
        <v>3773309.5147062484</v>
      </c>
      <c r="N204" s="90">
        <f t="shared" si="22"/>
        <v>4719107.158181866</v>
      </c>
      <c r="O204" s="5"/>
      <c r="P204" s="5"/>
      <c r="Q204" s="5"/>
      <c r="R204" s="5"/>
      <c r="S204" s="5"/>
      <c r="T204" s="5"/>
    </row>
    <row r="205" spans="1:21" ht="12.75">
      <c r="A205" s="3">
        <v>102</v>
      </c>
      <c r="B205" s="23" t="s">
        <v>212</v>
      </c>
      <c r="C205" s="18"/>
      <c r="D205" s="17"/>
      <c r="E205" s="17"/>
      <c r="F205" s="92"/>
      <c r="G205" s="92"/>
      <c r="H205" s="92"/>
      <c r="I205" s="92"/>
      <c r="J205" s="92"/>
      <c r="K205" s="92"/>
      <c r="L205" s="92"/>
      <c r="M205" s="92"/>
      <c r="N205" s="92"/>
      <c r="U205" s="5">
        <v>0</v>
      </c>
    </row>
    <row r="206" spans="1:21" ht="12.75">
      <c r="A206" s="3">
        <v>103</v>
      </c>
      <c r="B206" s="65" t="s">
        <v>158</v>
      </c>
      <c r="C206" s="18"/>
      <c r="D206" s="19"/>
      <c r="E206" s="18" t="s">
        <v>2</v>
      </c>
      <c r="F206" s="90">
        <v>0</v>
      </c>
      <c r="G206" s="90">
        <f aca="true" t="shared" si="23" ref="G206:N206">F214</f>
        <v>0</v>
      </c>
      <c r="H206" s="90">
        <f t="shared" si="23"/>
        <v>897520.2523659306</v>
      </c>
      <c r="I206" s="90">
        <f t="shared" si="23"/>
        <v>1078769.4886883139</v>
      </c>
      <c r="J206" s="90">
        <f t="shared" si="23"/>
        <v>1063531.5373272088</v>
      </c>
      <c r="K206" s="90">
        <f t="shared" si="23"/>
        <v>180495.80309693492</v>
      </c>
      <c r="L206" s="90">
        <f t="shared" si="23"/>
        <v>0</v>
      </c>
      <c r="M206" s="90">
        <f t="shared" si="23"/>
        <v>0</v>
      </c>
      <c r="N206" s="90">
        <f t="shared" si="23"/>
        <v>0</v>
      </c>
      <c r="O206" s="5"/>
      <c r="P206" s="5"/>
      <c r="Q206" s="5"/>
      <c r="R206" s="5"/>
      <c r="S206" s="5"/>
      <c r="T206" s="5"/>
      <c r="U206" s="5">
        <v>0</v>
      </c>
    </row>
    <row r="207" spans="1:21" ht="12.75">
      <c r="A207" s="3">
        <v>104</v>
      </c>
      <c r="B207" s="65" t="s">
        <v>159</v>
      </c>
      <c r="C207" s="18"/>
      <c r="D207" s="18" t="s">
        <v>2</v>
      </c>
      <c r="E207" s="18" t="s">
        <v>2</v>
      </c>
      <c r="F207" s="90">
        <f>F199</f>
        <v>0</v>
      </c>
      <c r="G207" s="90">
        <f>G199</f>
        <v>889106</v>
      </c>
      <c r="H207" s="90">
        <f>H199</f>
        <v>162721.52000000002</v>
      </c>
      <c r="I207" s="90">
        <f>I199</f>
        <v>0</v>
      </c>
      <c r="J207" s="90">
        <f>J199</f>
        <v>0</v>
      </c>
      <c r="K207" s="90">
        <f>K199</f>
        <v>0</v>
      </c>
      <c r="L207" s="90">
        <f>L199</f>
        <v>0</v>
      </c>
      <c r="M207" s="90">
        <f>M199</f>
        <v>0</v>
      </c>
      <c r="N207" s="90">
        <f>N199</f>
        <v>0</v>
      </c>
      <c r="O207" s="5"/>
      <c r="P207" s="5"/>
      <c r="Q207" s="5"/>
      <c r="R207" s="5"/>
      <c r="S207" s="5"/>
      <c r="T207" s="5"/>
      <c r="U207" s="5">
        <v>0</v>
      </c>
    </row>
    <row r="208" spans="1:21" ht="12.75">
      <c r="A208" s="3">
        <v>105</v>
      </c>
      <c r="B208" s="65" t="s">
        <v>155</v>
      </c>
      <c r="C208" s="18"/>
      <c r="D208" s="19"/>
      <c r="E208" s="18" t="s">
        <v>2</v>
      </c>
      <c r="F208" s="90">
        <f>MAXA(0,MINA(F206,F197))</f>
        <v>0</v>
      </c>
      <c r="G208" s="90">
        <f>MAXA(0,MINA(G206,G197))</f>
        <v>0</v>
      </c>
      <c r="H208" s="90">
        <f>MAXA(0,MINA(H206,H197))</f>
        <v>0</v>
      </c>
      <c r="I208" s="90">
        <f>MAXA(0,MINA(I206,I197))</f>
        <v>35322.02348000044</v>
      </c>
      <c r="J208" s="90">
        <f>MAXA(0,MINA(J206,J197))</f>
        <v>894698.4905467501</v>
      </c>
      <c r="K208" s="90">
        <f>MAXA(0,MINA(K206,K197))</f>
        <v>180495.80309693492</v>
      </c>
      <c r="L208" s="90">
        <f>MAXA(0,MINA(L206,L197))</f>
        <v>0</v>
      </c>
      <c r="M208" s="90">
        <f>MAXA(0,MINA(M206,M197))</f>
        <v>0</v>
      </c>
      <c r="N208" s="90">
        <f>MAXA(0,MINA(N206,N197))</f>
        <v>0</v>
      </c>
      <c r="O208" s="5"/>
      <c r="P208" s="5"/>
      <c r="Q208" s="5"/>
      <c r="R208" s="5"/>
      <c r="S208" s="5"/>
      <c r="T208" s="5"/>
      <c r="U208" s="5">
        <v>0</v>
      </c>
    </row>
    <row r="209" spans="1:21" ht="12.75">
      <c r="A209" s="3">
        <v>106</v>
      </c>
      <c r="B209" s="65" t="s">
        <v>160</v>
      </c>
      <c r="C209" s="18"/>
      <c r="D209" s="19"/>
      <c r="E209" s="18" t="s">
        <v>2</v>
      </c>
      <c r="F209" s="90">
        <f aca="true" t="shared" si="24" ref="F209:N209">F206+F207-F208</f>
        <v>0</v>
      </c>
      <c r="G209" s="90">
        <f t="shared" si="24"/>
        <v>889106</v>
      </c>
      <c r="H209" s="90">
        <f t="shared" si="24"/>
        <v>1060241.7723659305</v>
      </c>
      <c r="I209" s="90">
        <f t="shared" si="24"/>
        <v>1043447.4652083134</v>
      </c>
      <c r="J209" s="90">
        <f t="shared" si="24"/>
        <v>168833.04678045865</v>
      </c>
      <c r="K209" s="90">
        <f t="shared" si="24"/>
        <v>0</v>
      </c>
      <c r="L209" s="90">
        <f t="shared" si="24"/>
        <v>0</v>
      </c>
      <c r="M209" s="90">
        <f t="shared" si="24"/>
        <v>0</v>
      </c>
      <c r="N209" s="90">
        <f t="shared" si="24"/>
        <v>0</v>
      </c>
      <c r="O209" s="5"/>
      <c r="P209" s="5"/>
      <c r="Q209" s="5"/>
      <c r="R209" s="5"/>
      <c r="S209" s="5"/>
      <c r="T209" s="5"/>
      <c r="U209" s="5">
        <v>0</v>
      </c>
    </row>
    <row r="210" spans="1:21" ht="12.75">
      <c r="A210" s="3">
        <v>107</v>
      </c>
      <c r="B210" s="65" t="s">
        <v>161</v>
      </c>
      <c r="C210" s="18"/>
      <c r="D210" s="19"/>
      <c r="E210" s="18" t="s">
        <v>2</v>
      </c>
      <c r="F210" s="90">
        <v>0</v>
      </c>
      <c r="G210" s="90">
        <f aca="true" t="shared" si="25" ref="G210:N210">(G206+G209)/2</f>
        <v>444553</v>
      </c>
      <c r="H210" s="90">
        <f t="shared" si="25"/>
        <v>978881.0123659305</v>
      </c>
      <c r="I210" s="90">
        <f t="shared" si="25"/>
        <v>1061108.4769483136</v>
      </c>
      <c r="J210" s="90">
        <f t="shared" si="25"/>
        <v>616182.2920538337</v>
      </c>
      <c r="K210" s="90">
        <f t="shared" si="25"/>
        <v>90247.90154846746</v>
      </c>
      <c r="L210" s="90">
        <f t="shared" si="25"/>
        <v>0</v>
      </c>
      <c r="M210" s="90">
        <f t="shared" si="25"/>
        <v>0</v>
      </c>
      <c r="N210" s="90">
        <f t="shared" si="25"/>
        <v>0</v>
      </c>
      <c r="O210" s="5"/>
      <c r="P210" s="5"/>
      <c r="Q210" s="5"/>
      <c r="R210" s="5"/>
      <c r="S210" s="5"/>
      <c r="T210" s="5"/>
      <c r="U210" s="5">
        <v>0</v>
      </c>
    </row>
    <row r="211" spans="1:21" ht="12.75">
      <c r="A211" s="3">
        <v>108</v>
      </c>
      <c r="B211" s="65" t="s">
        <v>162</v>
      </c>
      <c r="C211" s="18"/>
      <c r="D211" s="19"/>
      <c r="E211" s="18" t="s">
        <v>2</v>
      </c>
      <c r="F211" s="93">
        <f>F83</f>
        <v>0.01875</v>
      </c>
      <c r="G211" s="93">
        <f>G83</f>
        <v>0.01875</v>
      </c>
      <c r="H211" s="93">
        <f>H83</f>
        <v>0.01875</v>
      </c>
      <c r="I211" s="93">
        <f>I83</f>
        <v>0.01875</v>
      </c>
      <c r="J211" s="93">
        <f>J83</f>
        <v>0.01875</v>
      </c>
      <c r="K211" s="93">
        <f>K83</f>
        <v>0.01875</v>
      </c>
      <c r="L211" s="93">
        <f>L83</f>
        <v>0.01875</v>
      </c>
      <c r="M211" s="93">
        <f>M83</f>
        <v>0.01875</v>
      </c>
      <c r="N211" s="93">
        <f>N83</f>
        <v>0</v>
      </c>
      <c r="O211" s="5"/>
      <c r="P211" s="5"/>
      <c r="Q211" s="5"/>
      <c r="R211" s="5"/>
      <c r="S211" s="5"/>
      <c r="T211" s="5"/>
      <c r="U211" s="5">
        <v>0</v>
      </c>
    </row>
    <row r="212" spans="1:21" ht="12.75">
      <c r="A212" s="3">
        <v>109</v>
      </c>
      <c r="B212" s="65" t="s">
        <v>156</v>
      </c>
      <c r="C212" s="18"/>
      <c r="D212" s="19"/>
      <c r="E212" s="18" t="s">
        <v>2</v>
      </c>
      <c r="F212" s="90">
        <v>0</v>
      </c>
      <c r="G212" s="90">
        <f aca="true" t="shared" si="26" ref="G212:N212">(G206+G209)*((1/(1-G211/2))-1)</f>
        <v>8414.252365930546</v>
      </c>
      <c r="H212" s="90">
        <f t="shared" si="26"/>
        <v>18527.71632238343</v>
      </c>
      <c r="I212" s="90">
        <f t="shared" si="26"/>
        <v>20084.0721188954</v>
      </c>
      <c r="J212" s="90">
        <f t="shared" si="26"/>
        <v>11662.756316476276</v>
      </c>
      <c r="K212" s="90">
        <f t="shared" si="26"/>
        <v>1708.162174418932</v>
      </c>
      <c r="L212" s="90">
        <f t="shared" si="26"/>
        <v>0</v>
      </c>
      <c r="M212" s="90">
        <f t="shared" si="26"/>
        <v>0</v>
      </c>
      <c r="N212" s="90">
        <f t="shared" si="26"/>
        <v>0</v>
      </c>
      <c r="O212" s="5"/>
      <c r="P212" s="5"/>
      <c r="Q212" s="5"/>
      <c r="R212" s="5"/>
      <c r="S212" s="5"/>
      <c r="T212" s="5"/>
      <c r="U212" s="5">
        <v>0</v>
      </c>
    </row>
    <row r="213" spans="1:20" ht="12.75">
      <c r="A213" s="3">
        <v>110</v>
      </c>
      <c r="B213" s="65" t="s">
        <v>163</v>
      </c>
      <c r="C213" s="18"/>
      <c r="D213" s="17"/>
      <c r="E213" s="17"/>
      <c r="F213" s="90">
        <f>F203</f>
        <v>0</v>
      </c>
      <c r="G213" s="90">
        <f>G203</f>
        <v>0</v>
      </c>
      <c r="H213" s="90">
        <f>H203</f>
        <v>0</v>
      </c>
      <c r="I213" s="90">
        <f>I203</f>
        <v>0</v>
      </c>
      <c r="J213" s="90">
        <f>J203</f>
        <v>0</v>
      </c>
      <c r="K213" s="90">
        <f>K203</f>
        <v>1708.162174418932</v>
      </c>
      <c r="L213" s="90">
        <f>L203</f>
        <v>0</v>
      </c>
      <c r="M213" s="90">
        <f>M203</f>
        <v>0</v>
      </c>
      <c r="N213" s="90">
        <f>N203</f>
        <v>0</v>
      </c>
      <c r="O213" s="5"/>
      <c r="P213" s="5"/>
      <c r="Q213" s="5"/>
      <c r="R213" s="5"/>
      <c r="S213" s="5"/>
      <c r="T213" s="5"/>
    </row>
    <row r="214" spans="1:21" ht="12.75">
      <c r="A214" s="3">
        <v>111</v>
      </c>
      <c r="B214" s="65" t="s">
        <v>146</v>
      </c>
      <c r="C214" s="18"/>
      <c r="D214" s="19"/>
      <c r="E214" s="18" t="s">
        <v>2</v>
      </c>
      <c r="F214" s="90">
        <f aca="true" t="shared" si="27" ref="F214:N214">F209+F212-F213</f>
        <v>0</v>
      </c>
      <c r="G214" s="90">
        <f t="shared" si="27"/>
        <v>897520.2523659306</v>
      </c>
      <c r="H214" s="90">
        <f t="shared" si="27"/>
        <v>1078769.4886883139</v>
      </c>
      <c r="I214" s="90">
        <f t="shared" si="27"/>
        <v>1063531.5373272088</v>
      </c>
      <c r="J214" s="90">
        <f t="shared" si="27"/>
        <v>180495.80309693492</v>
      </c>
      <c r="K214" s="90">
        <f t="shared" si="27"/>
        <v>0</v>
      </c>
      <c r="L214" s="90">
        <f t="shared" si="27"/>
        <v>0</v>
      </c>
      <c r="M214" s="90">
        <f t="shared" si="27"/>
        <v>0</v>
      </c>
      <c r="N214" s="90">
        <f t="shared" si="27"/>
        <v>0</v>
      </c>
      <c r="O214" s="5"/>
      <c r="P214" s="5"/>
      <c r="Q214" s="5"/>
      <c r="R214" s="5"/>
      <c r="S214" s="5"/>
      <c r="T214" s="5"/>
      <c r="U214" s="5">
        <v>0</v>
      </c>
    </row>
    <row r="215" spans="1:20" ht="12.75">
      <c r="A215" s="3">
        <v>112</v>
      </c>
      <c r="B215" s="65" t="s">
        <v>164</v>
      </c>
      <c r="C215" s="18"/>
      <c r="D215" s="17"/>
      <c r="E215" s="17"/>
      <c r="F215" s="90">
        <f aca="true" t="shared" si="28" ref="F215:N215">F207+F212-F213</f>
        <v>0</v>
      </c>
      <c r="G215" s="90">
        <f t="shared" si="28"/>
        <v>897520.2523659306</v>
      </c>
      <c r="H215" s="90">
        <f t="shared" si="28"/>
        <v>181249.23632238345</v>
      </c>
      <c r="I215" s="90">
        <f t="shared" si="28"/>
        <v>20084.0721188954</v>
      </c>
      <c r="J215" s="90">
        <f t="shared" si="28"/>
        <v>11662.756316476276</v>
      </c>
      <c r="K215" s="90">
        <f t="shared" si="28"/>
        <v>0</v>
      </c>
      <c r="L215" s="90">
        <f t="shared" si="28"/>
        <v>0</v>
      </c>
      <c r="M215" s="90">
        <f t="shared" si="28"/>
        <v>0</v>
      </c>
      <c r="N215" s="90">
        <f t="shared" si="28"/>
        <v>0</v>
      </c>
      <c r="O215" s="5"/>
      <c r="P215" s="5"/>
      <c r="Q215" s="5"/>
      <c r="R215" s="5"/>
      <c r="S215" s="5"/>
      <c r="T215" s="5"/>
    </row>
    <row r="216" spans="1:14" ht="14.25">
      <c r="A216" s="3">
        <v>113</v>
      </c>
      <c r="B216" s="23" t="s">
        <v>276</v>
      </c>
      <c r="C216" s="46"/>
      <c r="D216" s="51" t="s">
        <v>213</v>
      </c>
      <c r="E216" s="17"/>
      <c r="F216" s="92"/>
      <c r="G216" s="92"/>
      <c r="H216" s="92"/>
      <c r="I216" s="92"/>
      <c r="J216" s="92"/>
      <c r="K216" s="92"/>
      <c r="L216" s="92"/>
      <c r="M216" s="92"/>
      <c r="N216" s="92"/>
    </row>
    <row r="217" spans="1:20" ht="12.75">
      <c r="A217" s="3">
        <v>114</v>
      </c>
      <c r="B217" s="94" t="s">
        <v>233</v>
      </c>
      <c r="C217" s="18"/>
      <c r="D217" s="95">
        <f>IRR(F217:T217,0.2)*F44</f>
        <v>0.4522463674287769</v>
      </c>
      <c r="E217" s="19">
        <f>SUM(F217:T217)</f>
        <v>2823004.1174799697</v>
      </c>
      <c r="F217" s="90">
        <f>F155</f>
        <v>-2518075</v>
      </c>
      <c r="G217" s="90">
        <f>G155</f>
        <v>-1356031</v>
      </c>
      <c r="H217" s="90">
        <f>H155</f>
        <v>-47721.52000000002</v>
      </c>
      <c r="I217" s="90">
        <f>I155</f>
        <v>948822.0234800004</v>
      </c>
      <c r="J217" s="90">
        <f>J155</f>
        <v>894698.4905467501</v>
      </c>
      <c r="K217" s="90">
        <f>K155</f>
        <v>1174136.958830305</v>
      </c>
      <c r="L217" s="90">
        <f>L155</f>
        <v>1892619.5549183963</v>
      </c>
      <c r="M217" s="90">
        <f>M155</f>
        <v>888756.9662289007</v>
      </c>
      <c r="N217" s="90">
        <f>N155</f>
        <v>945797.6434756175</v>
      </c>
      <c r="O217" s="5"/>
      <c r="P217" s="5"/>
      <c r="Q217" s="5"/>
      <c r="R217" s="5"/>
      <c r="S217" s="5"/>
      <c r="T217" s="5"/>
    </row>
    <row r="218" spans="1:21" ht="12.75">
      <c r="A218" s="3">
        <v>115</v>
      </c>
      <c r="B218" s="65" t="s">
        <v>232</v>
      </c>
      <c r="C218" s="18"/>
      <c r="D218" s="95">
        <f>IRR(F218:T218,0.2)*F44</f>
        <v>0.6069017460535076</v>
      </c>
      <c r="E218" s="19">
        <f>SUM(F218:T218)</f>
        <v>2719107.1581818657</v>
      </c>
      <c r="F218" s="90">
        <f>F166-F161</f>
        <v>-1518075</v>
      </c>
      <c r="G218" s="90">
        <f>G166-G161</f>
        <v>-481924.9999999999</v>
      </c>
      <c r="H218" s="90">
        <f>H166-H161</f>
        <v>0</v>
      </c>
      <c r="I218" s="90">
        <f>I166-I161</f>
        <v>0</v>
      </c>
      <c r="J218" s="90">
        <f>J166-J161</f>
        <v>0</v>
      </c>
      <c r="K218" s="90">
        <f>K166-K161</f>
        <v>991932.993558951</v>
      </c>
      <c r="L218" s="90">
        <f>L166-L161</f>
        <v>1892619.5549183963</v>
      </c>
      <c r="M218" s="90">
        <f>M166-M161</f>
        <v>888756.9662289007</v>
      </c>
      <c r="N218" s="90">
        <f>N166-N161</f>
        <v>945797.6434756175</v>
      </c>
      <c r="O218" s="5"/>
      <c r="P218" s="5"/>
      <c r="Q218" s="5"/>
      <c r="R218" s="5"/>
      <c r="S218" s="5"/>
      <c r="T218" s="5"/>
      <c r="U218" s="5">
        <v>0</v>
      </c>
    </row>
    <row r="219" spans="1:20" ht="12.75">
      <c r="A219" s="3">
        <v>116</v>
      </c>
      <c r="B219" s="65" t="s">
        <v>165</v>
      </c>
      <c r="C219" s="18"/>
      <c r="D219" s="17"/>
      <c r="E219" s="17"/>
      <c r="F219" s="90">
        <f>F218</f>
        <v>-1518075</v>
      </c>
      <c r="G219" s="90">
        <f aca="true" t="shared" si="29" ref="G219:N219">G218+F219</f>
        <v>-2000000</v>
      </c>
      <c r="H219" s="90">
        <f t="shared" si="29"/>
        <v>-2000000</v>
      </c>
      <c r="I219" s="90">
        <f t="shared" si="29"/>
        <v>-2000000</v>
      </c>
      <c r="J219" s="90">
        <f t="shared" si="29"/>
        <v>-2000000</v>
      </c>
      <c r="K219" s="90">
        <f t="shared" si="29"/>
        <v>-1008067.006441049</v>
      </c>
      <c r="L219" s="90">
        <f t="shared" si="29"/>
        <v>884552.5484773472</v>
      </c>
      <c r="M219" s="90">
        <f t="shared" si="29"/>
        <v>1773309.514706248</v>
      </c>
      <c r="N219" s="90">
        <f t="shared" si="29"/>
        <v>2719107.1581818657</v>
      </c>
      <c r="O219" s="5"/>
      <c r="P219" s="5"/>
      <c r="Q219" s="5"/>
      <c r="R219" s="5"/>
      <c r="S219" s="5"/>
      <c r="T219" s="5"/>
    </row>
    <row r="220" spans="2:20" ht="12.75">
      <c r="B220" s="65"/>
      <c r="C220" s="18"/>
      <c r="D220" s="17"/>
      <c r="E220" s="17"/>
      <c r="F220" s="90"/>
      <c r="G220" s="90"/>
      <c r="H220" s="90"/>
      <c r="I220" s="90"/>
      <c r="J220" s="90"/>
      <c r="K220" s="90"/>
      <c r="L220" s="90"/>
      <c r="M220" s="90"/>
      <c r="N220" s="90"/>
      <c r="O220" s="5"/>
      <c r="P220" s="5"/>
      <c r="Q220" s="5"/>
      <c r="R220" s="5"/>
      <c r="S220" s="5"/>
      <c r="T220" s="5"/>
    </row>
    <row r="221" spans="2:20" ht="12.75">
      <c r="B221" s="106" t="s">
        <v>254</v>
      </c>
      <c r="C221" s="107"/>
      <c r="D221" s="107"/>
      <c r="E221" s="107"/>
      <c r="F221" s="107"/>
      <c r="G221" s="107"/>
      <c r="H221" s="107"/>
      <c r="I221" s="107"/>
      <c r="J221" s="107"/>
      <c r="K221" s="107"/>
      <c r="L221" s="107"/>
      <c r="M221" s="107"/>
      <c r="N221" s="107"/>
      <c r="O221" s="5"/>
      <c r="P221" s="5"/>
      <c r="Q221" s="5"/>
      <c r="R221" s="5"/>
      <c r="S221" s="5"/>
      <c r="T221" s="5"/>
    </row>
    <row r="222" spans="2:20" ht="12.75">
      <c r="B222" s="96"/>
      <c r="C222" s="97"/>
      <c r="D222" s="98"/>
      <c r="E222" s="99"/>
      <c r="F222" s="90"/>
      <c r="G222" s="90"/>
      <c r="H222" s="90"/>
      <c r="I222" s="90"/>
      <c r="J222" s="90"/>
      <c r="K222" s="90"/>
      <c r="L222" s="90"/>
      <c r="M222" s="90"/>
      <c r="N222" s="90"/>
      <c r="O222" s="5"/>
      <c r="P222" s="5"/>
      <c r="Q222" s="5"/>
      <c r="R222" s="5"/>
      <c r="S222" s="5"/>
      <c r="T222" s="5"/>
    </row>
    <row r="223" spans="2:20" ht="15.75">
      <c r="B223" s="131" t="s">
        <v>214</v>
      </c>
      <c r="C223" s="132"/>
      <c r="D223" s="132"/>
      <c r="E223" s="132"/>
      <c r="F223" s="132"/>
      <c r="G223" s="132"/>
      <c r="H223" s="132"/>
      <c r="I223" s="132"/>
      <c r="J223" s="132"/>
      <c r="K223" s="132"/>
      <c r="L223" s="132"/>
      <c r="M223" s="132"/>
      <c r="N223" s="132"/>
      <c r="O223" s="5"/>
      <c r="P223" s="5"/>
      <c r="Q223" s="5"/>
      <c r="R223" s="5"/>
      <c r="S223" s="5"/>
      <c r="T223" s="5"/>
    </row>
    <row r="224" spans="2:20" ht="18.75">
      <c r="B224" s="131" t="s">
        <v>257</v>
      </c>
      <c r="C224" s="132"/>
      <c r="D224" s="132"/>
      <c r="E224" s="132"/>
      <c r="F224" s="132"/>
      <c r="G224" s="132"/>
      <c r="H224" s="132"/>
      <c r="I224" s="132"/>
      <c r="J224" s="132"/>
      <c r="K224" s="132"/>
      <c r="L224" s="132"/>
      <c r="M224" s="132"/>
      <c r="N224" s="132"/>
      <c r="O224" s="5"/>
      <c r="P224" s="5"/>
      <c r="Q224" s="5"/>
      <c r="R224" s="5"/>
      <c r="S224" s="5"/>
      <c r="T224" s="5"/>
    </row>
    <row r="225" spans="1:21" ht="12.75">
      <c r="A225" s="3">
        <v>117</v>
      </c>
      <c r="B225" s="23"/>
      <c r="C225" s="18"/>
      <c r="D225" s="34" t="s">
        <v>139</v>
      </c>
      <c r="E225" s="34" t="s">
        <v>104</v>
      </c>
      <c r="F225" s="36">
        <v>0</v>
      </c>
      <c r="G225" s="36">
        <f>1+F225</f>
        <v>1</v>
      </c>
      <c r="H225" s="36">
        <f>1+G225</f>
        <v>2</v>
      </c>
      <c r="I225" s="36">
        <f>1+H225</f>
        <v>3</v>
      </c>
      <c r="J225" s="36">
        <f>1+I225</f>
        <v>4</v>
      </c>
      <c r="K225" s="36">
        <f>1+J225</f>
        <v>5</v>
      </c>
      <c r="L225" s="36">
        <f>1+K225</f>
        <v>6</v>
      </c>
      <c r="M225" s="36">
        <f>1+L225</f>
        <v>7</v>
      </c>
      <c r="N225" s="36">
        <f>1+M225</f>
        <v>8</v>
      </c>
      <c r="U225" s="5">
        <v>0</v>
      </c>
    </row>
    <row r="226" spans="1:21" s="15" customFormat="1" ht="14.25">
      <c r="A226" s="17">
        <v>118</v>
      </c>
      <c r="B226" s="64" t="s">
        <v>277</v>
      </c>
      <c r="C226" s="12"/>
      <c r="D226" s="34"/>
      <c r="E226" s="34"/>
      <c r="F226" s="36"/>
      <c r="G226" s="36"/>
      <c r="H226" s="36"/>
      <c r="I226" s="36"/>
      <c r="J226" s="36"/>
      <c r="K226" s="36"/>
      <c r="L226" s="36"/>
      <c r="M226" s="36"/>
      <c r="N226" s="36"/>
      <c r="O226" s="11"/>
      <c r="P226" s="11"/>
      <c r="Q226" s="11"/>
      <c r="R226" s="11"/>
      <c r="S226" s="11"/>
      <c r="T226" s="11"/>
      <c r="U226" s="11">
        <v>0</v>
      </c>
    </row>
    <row r="227" spans="1:21" ht="12.75">
      <c r="A227" s="3">
        <v>119</v>
      </c>
      <c r="B227" s="65" t="s">
        <v>215</v>
      </c>
      <c r="C227" s="18"/>
      <c r="D227" s="17"/>
      <c r="E227" s="19">
        <f>SUM(F227:T227)</f>
        <v>4719107.158181866</v>
      </c>
      <c r="F227" s="19">
        <f>F166</f>
        <v>481925</v>
      </c>
      <c r="G227" s="19">
        <f>G166</f>
        <v>-481924.9999999999</v>
      </c>
      <c r="H227" s="19">
        <f>H166</f>
        <v>0</v>
      </c>
      <c r="I227" s="19">
        <f>I166</f>
        <v>0</v>
      </c>
      <c r="J227" s="19">
        <f>J166</f>
        <v>0</v>
      </c>
      <c r="K227" s="19">
        <f>K166</f>
        <v>991932.993558951</v>
      </c>
      <c r="L227" s="19">
        <f>L166</f>
        <v>1892619.5549183963</v>
      </c>
      <c r="M227" s="19">
        <f>M166</f>
        <v>888756.9662289007</v>
      </c>
      <c r="N227" s="19">
        <f>N166</f>
        <v>945797.6434756175</v>
      </c>
      <c r="O227" s="5"/>
      <c r="P227" s="5"/>
      <c r="Q227" s="5"/>
      <c r="R227" s="5"/>
      <c r="S227" s="5"/>
      <c r="T227" s="5"/>
      <c r="U227" s="5">
        <v>0</v>
      </c>
    </row>
    <row r="228" spans="1:21" ht="12.75">
      <c r="A228" s="3">
        <v>120</v>
      </c>
      <c r="B228" s="65" t="s">
        <v>225</v>
      </c>
      <c r="C228" s="18"/>
      <c r="D228" s="17"/>
      <c r="E228" s="18" t="s">
        <v>2</v>
      </c>
      <c r="F228" s="19"/>
      <c r="G228" s="19">
        <f aca="true" t="shared" si="30" ref="G228:N228">F237</f>
        <v>2000000</v>
      </c>
      <c r="H228" s="19">
        <f t="shared" si="30"/>
        <v>2040000</v>
      </c>
      <c r="I228" s="19">
        <f t="shared" si="30"/>
        <v>2080800</v>
      </c>
      <c r="J228" s="19">
        <f t="shared" si="30"/>
        <v>2122416</v>
      </c>
      <c r="K228" s="19">
        <f t="shared" si="30"/>
        <v>2164864.32</v>
      </c>
      <c r="L228" s="19">
        <f t="shared" si="30"/>
        <v>1216228.6128410487</v>
      </c>
      <c r="M228" s="19">
        <f t="shared" si="30"/>
        <v>0</v>
      </c>
      <c r="N228" s="19">
        <f t="shared" si="30"/>
        <v>0</v>
      </c>
      <c r="O228" s="5"/>
      <c r="P228" s="5"/>
      <c r="Q228" s="5"/>
      <c r="R228" s="5"/>
      <c r="S228" s="5"/>
      <c r="T228" s="5"/>
      <c r="U228" s="5">
        <v>0</v>
      </c>
    </row>
    <row r="229" spans="1:21" ht="12.75">
      <c r="A229" s="3">
        <v>121</v>
      </c>
      <c r="B229" s="65" t="s">
        <v>226</v>
      </c>
      <c r="C229" s="18"/>
      <c r="D229" s="17"/>
      <c r="E229" s="19">
        <f>SUM(F229:T229)</f>
        <v>2000000</v>
      </c>
      <c r="F229" s="19">
        <f aca="true" t="shared" si="31" ref="F229:N229">F$161</f>
        <v>2000000</v>
      </c>
      <c r="G229" s="19">
        <f t="shared" si="31"/>
        <v>0</v>
      </c>
      <c r="H229" s="19">
        <f t="shared" si="31"/>
        <v>0</v>
      </c>
      <c r="I229" s="19">
        <f t="shared" si="31"/>
        <v>0</v>
      </c>
      <c r="J229" s="19">
        <f t="shared" si="31"/>
        <v>0</v>
      </c>
      <c r="K229" s="19">
        <f t="shared" si="31"/>
        <v>0</v>
      </c>
      <c r="L229" s="19">
        <f t="shared" si="31"/>
        <v>0</v>
      </c>
      <c r="M229" s="19">
        <f t="shared" si="31"/>
        <v>0</v>
      </c>
      <c r="N229" s="19">
        <f t="shared" si="31"/>
        <v>0</v>
      </c>
      <c r="O229" s="5"/>
      <c r="P229" s="5"/>
      <c r="Q229" s="5"/>
      <c r="R229" s="5"/>
      <c r="S229" s="5"/>
      <c r="T229" s="5"/>
      <c r="U229" s="5">
        <v>0</v>
      </c>
    </row>
    <row r="230" spans="1:21" ht="12.75">
      <c r="A230" s="3">
        <v>122</v>
      </c>
      <c r="B230" s="65" t="s">
        <v>88</v>
      </c>
      <c r="C230" s="18"/>
      <c r="D230" s="17"/>
      <c r="E230" s="19"/>
      <c r="F230" s="19">
        <f aca="true" t="shared" si="32" ref="F230:N230">F228+F229</f>
        <v>2000000</v>
      </c>
      <c r="G230" s="19">
        <f t="shared" si="32"/>
        <v>2000000</v>
      </c>
      <c r="H230" s="19">
        <f t="shared" si="32"/>
        <v>2040000</v>
      </c>
      <c r="I230" s="19">
        <f t="shared" si="32"/>
        <v>2080800</v>
      </c>
      <c r="J230" s="19">
        <f t="shared" si="32"/>
        <v>2122416</v>
      </c>
      <c r="K230" s="19">
        <f t="shared" si="32"/>
        <v>2164864.32</v>
      </c>
      <c r="L230" s="19">
        <f t="shared" si="32"/>
        <v>1216228.6128410487</v>
      </c>
      <c r="M230" s="19">
        <f t="shared" si="32"/>
        <v>0</v>
      </c>
      <c r="N230" s="19">
        <f t="shared" si="32"/>
        <v>0</v>
      </c>
      <c r="O230" s="5"/>
      <c r="P230" s="5"/>
      <c r="Q230" s="5"/>
      <c r="R230" s="5"/>
      <c r="S230" s="5"/>
      <c r="T230" s="5"/>
      <c r="U230" s="5">
        <v>0</v>
      </c>
    </row>
    <row r="231" spans="1:21" ht="14.25">
      <c r="A231" s="3">
        <v>123</v>
      </c>
      <c r="B231" s="65" t="s">
        <v>278</v>
      </c>
      <c r="C231" s="18"/>
      <c r="D231" s="87">
        <v>0.02</v>
      </c>
      <c r="E231" s="19"/>
      <c r="F231" s="19">
        <v>0</v>
      </c>
      <c r="G231" s="19">
        <f aca="true" t="shared" si="33" ref="G231:N231">$D$231*G230</f>
        <v>40000</v>
      </c>
      <c r="H231" s="19">
        <f t="shared" si="33"/>
        <v>40800</v>
      </c>
      <c r="I231" s="19">
        <f t="shared" si="33"/>
        <v>41616</v>
      </c>
      <c r="J231" s="19">
        <f t="shared" si="33"/>
        <v>42448.32</v>
      </c>
      <c r="K231" s="19">
        <f t="shared" si="33"/>
        <v>43297.2864</v>
      </c>
      <c r="L231" s="19">
        <f t="shared" si="33"/>
        <v>24324.572256820975</v>
      </c>
      <c r="M231" s="19">
        <f t="shared" si="33"/>
        <v>0</v>
      </c>
      <c r="N231" s="19">
        <f t="shared" si="33"/>
        <v>0</v>
      </c>
      <c r="O231" s="5"/>
      <c r="P231" s="5"/>
      <c r="Q231" s="5"/>
      <c r="R231" s="5"/>
      <c r="S231" s="5"/>
      <c r="T231" s="5"/>
      <c r="U231" s="5">
        <v>0</v>
      </c>
    </row>
    <row r="232" spans="1:20" ht="14.25">
      <c r="A232" s="3">
        <v>124</v>
      </c>
      <c r="B232" s="65" t="s">
        <v>279</v>
      </c>
      <c r="C232" s="18"/>
      <c r="D232" s="66">
        <v>0</v>
      </c>
      <c r="E232" s="17"/>
      <c r="F232" s="19">
        <f aca="true" t="shared" si="34" ref="F232:N232">$D$232*F230</f>
        <v>0</v>
      </c>
      <c r="G232" s="19">
        <f t="shared" si="34"/>
        <v>0</v>
      </c>
      <c r="H232" s="19">
        <f t="shared" si="34"/>
        <v>0</v>
      </c>
      <c r="I232" s="19">
        <f t="shared" si="34"/>
        <v>0</v>
      </c>
      <c r="J232" s="19">
        <f t="shared" si="34"/>
        <v>0</v>
      </c>
      <c r="K232" s="19">
        <f t="shared" si="34"/>
        <v>0</v>
      </c>
      <c r="L232" s="19">
        <f t="shared" si="34"/>
        <v>0</v>
      </c>
      <c r="M232" s="19">
        <f t="shared" si="34"/>
        <v>0</v>
      </c>
      <c r="N232" s="19">
        <f t="shared" si="34"/>
        <v>0</v>
      </c>
      <c r="O232" s="5"/>
      <c r="P232" s="5"/>
      <c r="Q232" s="5"/>
      <c r="R232" s="5"/>
      <c r="S232" s="5"/>
      <c r="T232" s="5"/>
    </row>
    <row r="233" spans="1:21" ht="12.75">
      <c r="A233" s="3">
        <v>125</v>
      </c>
      <c r="B233" s="65" t="s">
        <v>227</v>
      </c>
      <c r="C233" s="18"/>
      <c r="D233" s="66"/>
      <c r="E233" s="19">
        <f>SUM(F233:T233)</f>
        <v>67621.85865682097</v>
      </c>
      <c r="F233" s="19">
        <f aca="true" t="shared" si="35" ref="F233:N233">MAXA(0,MINA(F231+F232,F227))</f>
        <v>0</v>
      </c>
      <c r="G233" s="19">
        <f t="shared" si="35"/>
        <v>0</v>
      </c>
      <c r="H233" s="19">
        <f t="shared" si="35"/>
        <v>0</v>
      </c>
      <c r="I233" s="19">
        <f t="shared" si="35"/>
        <v>0</v>
      </c>
      <c r="J233" s="19">
        <f t="shared" si="35"/>
        <v>0</v>
      </c>
      <c r="K233" s="19">
        <f t="shared" si="35"/>
        <v>43297.2864</v>
      </c>
      <c r="L233" s="19">
        <f t="shared" si="35"/>
        <v>24324.572256820975</v>
      </c>
      <c r="M233" s="19">
        <f t="shared" si="35"/>
        <v>0</v>
      </c>
      <c r="N233" s="19">
        <f t="shared" si="35"/>
        <v>0</v>
      </c>
      <c r="O233" s="5"/>
      <c r="P233" s="5"/>
      <c r="Q233" s="5"/>
      <c r="R233" s="5"/>
      <c r="S233" s="5"/>
      <c r="T233" s="5"/>
      <c r="U233" s="5">
        <v>0</v>
      </c>
    </row>
    <row r="234" spans="1:21" ht="12.75">
      <c r="A234" s="3">
        <v>126</v>
      </c>
      <c r="B234" s="65" t="s">
        <v>228</v>
      </c>
      <c r="C234" s="18"/>
      <c r="D234" s="60" t="s">
        <v>2</v>
      </c>
      <c r="E234" s="19">
        <f>SUM(F234:T234)</f>
        <v>164864.32</v>
      </c>
      <c r="F234" s="19">
        <f aca="true" t="shared" si="36" ref="F234:N234">IF($D$231&gt;0,MAXA(0,F231-F233),0)</f>
        <v>0</v>
      </c>
      <c r="G234" s="19">
        <f t="shared" si="36"/>
        <v>40000</v>
      </c>
      <c r="H234" s="19">
        <f t="shared" si="36"/>
        <v>40800</v>
      </c>
      <c r="I234" s="19">
        <f t="shared" si="36"/>
        <v>41616</v>
      </c>
      <c r="J234" s="19">
        <f t="shared" si="36"/>
        <v>42448.32</v>
      </c>
      <c r="K234" s="19">
        <f t="shared" si="36"/>
        <v>0</v>
      </c>
      <c r="L234" s="19">
        <f t="shared" si="36"/>
        <v>0</v>
      </c>
      <c r="M234" s="19">
        <f t="shared" si="36"/>
        <v>0</v>
      </c>
      <c r="N234" s="19">
        <f t="shared" si="36"/>
        <v>0</v>
      </c>
      <c r="O234" s="5"/>
      <c r="P234" s="5"/>
      <c r="Q234" s="5"/>
      <c r="R234" s="5"/>
      <c r="S234" s="5"/>
      <c r="T234" s="5"/>
      <c r="U234" s="5">
        <v>0</v>
      </c>
    </row>
    <row r="235" spans="1:21" ht="12.75">
      <c r="A235" s="3">
        <v>127</v>
      </c>
      <c r="B235" s="65" t="s">
        <v>88</v>
      </c>
      <c r="C235" s="18"/>
      <c r="D235" s="66"/>
      <c r="E235" s="18" t="s">
        <v>2</v>
      </c>
      <c r="F235" s="19">
        <f aca="true" t="shared" si="37" ref="F235:N235">F230+F234</f>
        <v>2000000</v>
      </c>
      <c r="G235" s="19">
        <f t="shared" si="37"/>
        <v>2040000</v>
      </c>
      <c r="H235" s="19">
        <f t="shared" si="37"/>
        <v>2080800</v>
      </c>
      <c r="I235" s="19">
        <f t="shared" si="37"/>
        <v>2122416</v>
      </c>
      <c r="J235" s="19">
        <f t="shared" si="37"/>
        <v>2164864.32</v>
      </c>
      <c r="K235" s="19">
        <f t="shared" si="37"/>
        <v>2164864.32</v>
      </c>
      <c r="L235" s="19">
        <f t="shared" si="37"/>
        <v>1216228.6128410487</v>
      </c>
      <c r="M235" s="19">
        <f t="shared" si="37"/>
        <v>0</v>
      </c>
      <c r="N235" s="19">
        <f t="shared" si="37"/>
        <v>0</v>
      </c>
      <c r="O235" s="5"/>
      <c r="P235" s="5"/>
      <c r="Q235" s="5"/>
      <c r="R235" s="5"/>
      <c r="S235" s="5"/>
      <c r="T235" s="5"/>
      <c r="U235" s="5">
        <v>0</v>
      </c>
    </row>
    <row r="236" spans="1:21" ht="12.75">
      <c r="A236" s="3">
        <v>128</v>
      </c>
      <c r="B236" s="65" t="s">
        <v>229</v>
      </c>
      <c r="C236" s="18"/>
      <c r="D236" s="66"/>
      <c r="E236" s="19">
        <f>SUM(F236:T236)</f>
        <v>2164864.32</v>
      </c>
      <c r="F236" s="19">
        <v>0</v>
      </c>
      <c r="G236" s="19">
        <f aca="true" t="shared" si="38" ref="G236:N236">IF(G227&gt;G233,MINA(G230,G227-G233),0)</f>
        <v>0</v>
      </c>
      <c r="H236" s="19">
        <f t="shared" si="38"/>
        <v>0</v>
      </c>
      <c r="I236" s="19">
        <f t="shared" si="38"/>
        <v>0</v>
      </c>
      <c r="J236" s="19">
        <f t="shared" si="38"/>
        <v>0</v>
      </c>
      <c r="K236" s="19">
        <f t="shared" si="38"/>
        <v>948635.707158951</v>
      </c>
      <c r="L236" s="19">
        <f t="shared" si="38"/>
        <v>1216228.6128410487</v>
      </c>
      <c r="M236" s="19">
        <f t="shared" si="38"/>
        <v>0</v>
      </c>
      <c r="N236" s="19">
        <f t="shared" si="38"/>
        <v>0</v>
      </c>
      <c r="O236" s="5"/>
      <c r="P236" s="5"/>
      <c r="Q236" s="5"/>
      <c r="R236" s="5"/>
      <c r="S236" s="5"/>
      <c r="T236" s="5"/>
      <c r="U236" s="5">
        <v>0</v>
      </c>
    </row>
    <row r="237" spans="1:21" ht="12.75">
      <c r="A237" s="3">
        <v>129</v>
      </c>
      <c r="B237" s="65" t="s">
        <v>174</v>
      </c>
      <c r="C237" s="18"/>
      <c r="D237" s="66"/>
      <c r="E237" s="18" t="s">
        <v>2</v>
      </c>
      <c r="F237" s="19">
        <f aca="true" t="shared" si="39" ref="F237:N237">F235-F236</f>
        <v>2000000</v>
      </c>
      <c r="G237" s="19">
        <f t="shared" si="39"/>
        <v>2040000</v>
      </c>
      <c r="H237" s="19">
        <f t="shared" si="39"/>
        <v>2080800</v>
      </c>
      <c r="I237" s="19">
        <f t="shared" si="39"/>
        <v>2122416</v>
      </c>
      <c r="J237" s="19">
        <f t="shared" si="39"/>
        <v>2164864.32</v>
      </c>
      <c r="K237" s="19">
        <f t="shared" si="39"/>
        <v>1216228.6128410487</v>
      </c>
      <c r="L237" s="19">
        <f t="shared" si="39"/>
        <v>0</v>
      </c>
      <c r="M237" s="19">
        <f t="shared" si="39"/>
        <v>0</v>
      </c>
      <c r="N237" s="19">
        <f t="shared" si="39"/>
        <v>0</v>
      </c>
      <c r="O237" s="5"/>
      <c r="P237" s="5"/>
      <c r="Q237" s="5"/>
      <c r="R237" s="5"/>
      <c r="S237" s="5"/>
      <c r="T237" s="5"/>
      <c r="U237" s="5">
        <v>0</v>
      </c>
    </row>
    <row r="238" spans="1:21" ht="14.25">
      <c r="A238" s="3">
        <v>130</v>
      </c>
      <c r="B238" s="65" t="s">
        <v>280</v>
      </c>
      <c r="C238" s="18"/>
      <c r="D238" s="66"/>
      <c r="E238" s="19">
        <f>SUM(F238:T238)</f>
        <v>2486620.9795250446</v>
      </c>
      <c r="F238" s="19">
        <f>IF(F237=0,F227-F233-F236,0)</f>
        <v>0</v>
      </c>
      <c r="G238" s="19">
        <f>IF(G237=0,G227-G233-G236,0)</f>
        <v>0</v>
      </c>
      <c r="H238" s="19">
        <f>IF(H237=0,H227-H233-H236,0)</f>
        <v>0</v>
      </c>
      <c r="I238" s="19">
        <f>IF(I237=0,I227-I233-I236,0)</f>
        <v>0</v>
      </c>
      <c r="J238" s="19">
        <f>IF(J237=0,J227-J233-J236,0)</f>
        <v>0</v>
      </c>
      <c r="K238" s="19">
        <f>IF(K237=0,K227-K233-K236,0)</f>
        <v>0</v>
      </c>
      <c r="L238" s="19">
        <f>IF(L237=0,L227-L233-L236,0)</f>
        <v>652066.3698205266</v>
      </c>
      <c r="M238" s="19">
        <f>IF(M237=0,M227-M233-M236,0)</f>
        <v>888756.9662289007</v>
      </c>
      <c r="N238" s="19">
        <f>IF(N237=0,N227-N233-N236,0)</f>
        <v>945797.6434756175</v>
      </c>
      <c r="O238" s="5"/>
      <c r="P238" s="5"/>
      <c r="Q238" s="5"/>
      <c r="R238" s="5"/>
      <c r="S238" s="5"/>
      <c r="T238" s="5"/>
      <c r="U238" s="5">
        <v>0</v>
      </c>
    </row>
    <row r="239" spans="1:21" ht="12.75">
      <c r="A239" s="3">
        <v>131</v>
      </c>
      <c r="B239" s="65" t="s">
        <v>173</v>
      </c>
      <c r="C239" s="18"/>
      <c r="D239" s="100">
        <v>0.5</v>
      </c>
      <c r="E239" s="19">
        <f>SUM(F239:T239)</f>
        <v>1243310.4897625223</v>
      </c>
      <c r="F239" s="19">
        <f aca="true" t="shared" si="40" ref="F239:N239">F238*$D$239</f>
        <v>0</v>
      </c>
      <c r="G239" s="19">
        <f t="shared" si="40"/>
        <v>0</v>
      </c>
      <c r="H239" s="19">
        <f t="shared" si="40"/>
        <v>0</v>
      </c>
      <c r="I239" s="19">
        <f t="shared" si="40"/>
        <v>0</v>
      </c>
      <c r="J239" s="19">
        <f t="shared" si="40"/>
        <v>0</v>
      </c>
      <c r="K239" s="19">
        <f t="shared" si="40"/>
        <v>0</v>
      </c>
      <c r="L239" s="19">
        <f t="shared" si="40"/>
        <v>326033.1849102633</v>
      </c>
      <c r="M239" s="19">
        <f t="shared" si="40"/>
        <v>444378.48311445036</v>
      </c>
      <c r="N239" s="19">
        <f t="shared" si="40"/>
        <v>472898.82173780876</v>
      </c>
      <c r="O239" s="5"/>
      <c r="P239" s="5"/>
      <c r="Q239" s="5"/>
      <c r="R239" s="5"/>
      <c r="S239" s="5"/>
      <c r="T239" s="5"/>
      <c r="U239" s="5">
        <v>0</v>
      </c>
    </row>
    <row r="240" spans="1:21" ht="12.75">
      <c r="A240" s="3">
        <v>132</v>
      </c>
      <c r="B240" s="65" t="s">
        <v>172</v>
      </c>
      <c r="C240" s="18"/>
      <c r="D240" s="100">
        <v>0.5</v>
      </c>
      <c r="E240" s="19">
        <f>SUM(F240:T240)</f>
        <v>1243310.4897625223</v>
      </c>
      <c r="F240" s="19">
        <f aca="true" t="shared" si="41" ref="F240:N240">F238*$D$240</f>
        <v>0</v>
      </c>
      <c r="G240" s="19">
        <f t="shared" si="41"/>
        <v>0</v>
      </c>
      <c r="H240" s="19">
        <f t="shared" si="41"/>
        <v>0</v>
      </c>
      <c r="I240" s="19">
        <f t="shared" si="41"/>
        <v>0</v>
      </c>
      <c r="J240" s="19">
        <f t="shared" si="41"/>
        <v>0</v>
      </c>
      <c r="K240" s="19">
        <f t="shared" si="41"/>
        <v>0</v>
      </c>
      <c r="L240" s="19">
        <f t="shared" si="41"/>
        <v>326033.1849102633</v>
      </c>
      <c r="M240" s="19">
        <f t="shared" si="41"/>
        <v>444378.48311445036</v>
      </c>
      <c r="N240" s="19">
        <f t="shared" si="41"/>
        <v>472898.82173780876</v>
      </c>
      <c r="O240" s="5"/>
      <c r="P240" s="5"/>
      <c r="Q240" s="5"/>
      <c r="R240" s="5"/>
      <c r="S240" s="5"/>
      <c r="T240" s="5"/>
      <c r="U240" s="5">
        <v>0</v>
      </c>
    </row>
    <row r="241" spans="2:21" ht="12.75">
      <c r="B241" s="44"/>
      <c r="C241" s="17"/>
      <c r="D241" s="101"/>
      <c r="E241" s="18" t="s">
        <v>2</v>
      </c>
      <c r="F241" s="19"/>
      <c r="G241" s="19"/>
      <c r="H241" s="19"/>
      <c r="I241" s="19"/>
      <c r="J241" s="19"/>
      <c r="K241" s="19"/>
      <c r="L241" s="19"/>
      <c r="M241" s="19"/>
      <c r="N241" s="19"/>
      <c r="O241" s="5"/>
      <c r="P241" s="5"/>
      <c r="Q241" s="5"/>
      <c r="R241" s="5"/>
      <c r="S241" s="5"/>
      <c r="T241" s="5"/>
      <c r="U241" s="5">
        <v>0</v>
      </c>
    </row>
    <row r="242" spans="1:21" ht="12.75">
      <c r="A242" s="3">
        <v>133</v>
      </c>
      <c r="B242" s="65" t="s">
        <v>258</v>
      </c>
      <c r="C242" s="18"/>
      <c r="D242" s="17"/>
      <c r="E242" s="18" t="s">
        <v>2</v>
      </c>
      <c r="F242" s="19"/>
      <c r="G242" s="19"/>
      <c r="H242" s="19"/>
      <c r="I242" s="19"/>
      <c r="J242" s="19"/>
      <c r="K242" s="19"/>
      <c r="L242" s="19"/>
      <c r="M242" s="19"/>
      <c r="N242" s="19"/>
      <c r="O242" s="5"/>
      <c r="P242" s="5"/>
      <c r="Q242" s="5"/>
      <c r="R242" s="5"/>
      <c r="S242" s="5"/>
      <c r="T242" s="5"/>
      <c r="U242" s="5">
        <v>0</v>
      </c>
    </row>
    <row r="243" spans="2:21" ht="12.75">
      <c r="B243" s="44"/>
      <c r="C243" s="17"/>
      <c r="D243" s="17"/>
      <c r="E243" s="18" t="s">
        <v>2</v>
      </c>
      <c r="F243" s="19"/>
      <c r="G243" s="19"/>
      <c r="H243" s="19"/>
      <c r="I243" s="19"/>
      <c r="J243" s="19"/>
      <c r="K243" s="19"/>
      <c r="L243" s="19"/>
      <c r="M243" s="19"/>
      <c r="N243" s="19"/>
      <c r="O243" s="5"/>
      <c r="P243" s="5"/>
      <c r="Q243" s="5"/>
      <c r="R243" s="5"/>
      <c r="S243" s="5"/>
      <c r="T243" s="5"/>
      <c r="U243" s="5">
        <v>0</v>
      </c>
    </row>
    <row r="244" spans="1:21" ht="12.75">
      <c r="A244" s="3">
        <v>134</v>
      </c>
      <c r="B244" s="65" t="s">
        <v>171</v>
      </c>
      <c r="C244" s="18"/>
      <c r="D244" s="17"/>
      <c r="E244" s="19">
        <f>SUM(F244:T244)</f>
        <v>-2000000</v>
      </c>
      <c r="F244" s="19">
        <f>-F229</f>
        <v>-2000000</v>
      </c>
      <c r="G244" s="19">
        <f>-G229</f>
        <v>0</v>
      </c>
      <c r="H244" s="19">
        <f>-H229</f>
        <v>0</v>
      </c>
      <c r="I244" s="19">
        <f>-I229</f>
        <v>0</v>
      </c>
      <c r="J244" s="19">
        <f>-J229</f>
        <v>0</v>
      </c>
      <c r="K244" s="19">
        <f>-K229</f>
        <v>0</v>
      </c>
      <c r="L244" s="19">
        <f>-L229</f>
        <v>0</v>
      </c>
      <c r="M244" s="19">
        <f>-M229</f>
        <v>0</v>
      </c>
      <c r="N244" s="19">
        <f>-N229</f>
        <v>0</v>
      </c>
      <c r="O244" s="5"/>
      <c r="P244" s="5"/>
      <c r="Q244" s="5"/>
      <c r="R244" s="5"/>
      <c r="S244" s="5"/>
      <c r="T244" s="5"/>
      <c r="U244" s="5">
        <v>0</v>
      </c>
    </row>
    <row r="245" spans="1:21" ht="12.75">
      <c r="A245" s="3">
        <v>135</v>
      </c>
      <c r="B245" s="65" t="s">
        <v>170</v>
      </c>
      <c r="C245" s="18"/>
      <c r="D245" s="17"/>
      <c r="E245" s="19">
        <f>SUM(F245:T245)</f>
        <v>67621.85865682097</v>
      </c>
      <c r="F245" s="19">
        <f>F233</f>
        <v>0</v>
      </c>
      <c r="G245" s="19">
        <f>G233</f>
        <v>0</v>
      </c>
      <c r="H245" s="19">
        <f>H233</f>
        <v>0</v>
      </c>
      <c r="I245" s="19">
        <f>I233</f>
        <v>0</v>
      </c>
      <c r="J245" s="19">
        <f>J233</f>
        <v>0</v>
      </c>
      <c r="K245" s="19">
        <f>K233</f>
        <v>43297.2864</v>
      </c>
      <c r="L245" s="19">
        <f>L233</f>
        <v>24324.572256820975</v>
      </c>
      <c r="M245" s="19">
        <f>M233</f>
        <v>0</v>
      </c>
      <c r="N245" s="19">
        <f>N233</f>
        <v>0</v>
      </c>
      <c r="O245" s="5"/>
      <c r="P245" s="5"/>
      <c r="Q245" s="5"/>
      <c r="R245" s="5"/>
      <c r="S245" s="5"/>
      <c r="T245" s="5"/>
      <c r="U245" s="5">
        <v>0</v>
      </c>
    </row>
    <row r="246" spans="1:21" ht="12.75">
      <c r="A246" s="3">
        <v>136</v>
      </c>
      <c r="B246" s="65" t="s">
        <v>169</v>
      </c>
      <c r="C246" s="18"/>
      <c r="D246" s="17"/>
      <c r="E246" s="19">
        <f>SUM(F246:T246)</f>
        <v>2164864.32</v>
      </c>
      <c r="F246" s="19">
        <f>F236</f>
        <v>0</v>
      </c>
      <c r="G246" s="19">
        <f>G236</f>
        <v>0</v>
      </c>
      <c r="H246" s="19">
        <f>H236</f>
        <v>0</v>
      </c>
      <c r="I246" s="19">
        <f>I236</f>
        <v>0</v>
      </c>
      <c r="J246" s="19">
        <f>J236</f>
        <v>0</v>
      </c>
      <c r="K246" s="19">
        <f>K236</f>
        <v>948635.707158951</v>
      </c>
      <c r="L246" s="19">
        <f>L236</f>
        <v>1216228.6128410487</v>
      </c>
      <c r="M246" s="19">
        <f>M236</f>
        <v>0</v>
      </c>
      <c r="N246" s="19">
        <f>N236</f>
        <v>0</v>
      </c>
      <c r="O246" s="5"/>
      <c r="P246" s="5"/>
      <c r="Q246" s="5"/>
      <c r="R246" s="5"/>
      <c r="S246" s="5"/>
      <c r="T246" s="5"/>
      <c r="U246" s="5">
        <v>0</v>
      </c>
    </row>
    <row r="247" spans="1:21" ht="12.75">
      <c r="A247" s="3">
        <v>137</v>
      </c>
      <c r="B247" s="65" t="s">
        <v>168</v>
      </c>
      <c r="C247" s="18"/>
      <c r="D247" s="17"/>
      <c r="E247" s="11">
        <f>SUM(F247:T247)</f>
        <v>1243310.4897625223</v>
      </c>
      <c r="F247" s="11">
        <f aca="true" t="shared" si="42" ref="F247:N247">F239</f>
        <v>0</v>
      </c>
      <c r="G247" s="11">
        <f t="shared" si="42"/>
        <v>0</v>
      </c>
      <c r="H247" s="11">
        <f t="shared" si="42"/>
        <v>0</v>
      </c>
      <c r="I247" s="11">
        <f t="shared" si="42"/>
        <v>0</v>
      </c>
      <c r="J247" s="11">
        <f t="shared" si="42"/>
        <v>0</v>
      </c>
      <c r="K247" s="11">
        <f t="shared" si="42"/>
        <v>0</v>
      </c>
      <c r="L247" s="11">
        <f t="shared" si="42"/>
        <v>326033.1849102633</v>
      </c>
      <c r="M247" s="11">
        <f t="shared" si="42"/>
        <v>444378.48311445036</v>
      </c>
      <c r="N247" s="11">
        <f t="shared" si="42"/>
        <v>472898.82173780876</v>
      </c>
      <c r="O247" s="5"/>
      <c r="P247" s="5"/>
      <c r="Q247" s="5"/>
      <c r="R247" s="5"/>
      <c r="S247" s="5"/>
      <c r="T247" s="5"/>
      <c r="U247" s="5">
        <v>0</v>
      </c>
    </row>
    <row r="248" spans="2:21" ht="6" customHeight="1">
      <c r="B248" s="44"/>
      <c r="C248" s="17"/>
      <c r="D248" s="17"/>
      <c r="E248" s="45"/>
      <c r="F248" s="45"/>
      <c r="G248" s="45"/>
      <c r="H248" s="45"/>
      <c r="I248" s="45"/>
      <c r="J248" s="45"/>
      <c r="K248" s="45"/>
      <c r="L248" s="45"/>
      <c r="M248" s="45"/>
      <c r="N248" s="45"/>
      <c r="O248" s="4"/>
      <c r="P248" s="4"/>
      <c r="Q248" s="4"/>
      <c r="R248" s="4"/>
      <c r="S248" s="4"/>
      <c r="T248" s="4"/>
      <c r="U248" s="5"/>
    </row>
    <row r="249" spans="1:21" ht="12.75">
      <c r="A249" s="3">
        <v>138</v>
      </c>
      <c r="B249" s="65" t="s">
        <v>167</v>
      </c>
      <c r="C249" s="18"/>
      <c r="D249" s="17"/>
      <c r="E249" s="19">
        <f>SUM(F249:T249)</f>
        <v>1475796.668419343</v>
      </c>
      <c r="F249" s="19">
        <f aca="true" t="shared" si="43" ref="F249:N249">SUM(F244:F247)</f>
        <v>-2000000</v>
      </c>
      <c r="G249" s="19">
        <f t="shared" si="43"/>
        <v>0</v>
      </c>
      <c r="H249" s="19">
        <f t="shared" si="43"/>
        <v>0</v>
      </c>
      <c r="I249" s="19">
        <f t="shared" si="43"/>
        <v>0</v>
      </c>
      <c r="J249" s="19">
        <f t="shared" si="43"/>
        <v>0</v>
      </c>
      <c r="K249" s="19">
        <f t="shared" si="43"/>
        <v>991932.993558951</v>
      </c>
      <c r="L249" s="19">
        <f t="shared" si="43"/>
        <v>1566586.370008133</v>
      </c>
      <c r="M249" s="19">
        <f t="shared" si="43"/>
        <v>444378.48311445036</v>
      </c>
      <c r="N249" s="19">
        <f t="shared" si="43"/>
        <v>472898.82173780876</v>
      </c>
      <c r="O249" s="5"/>
      <c r="P249" s="5"/>
      <c r="Q249" s="5"/>
      <c r="R249" s="5"/>
      <c r="S249" s="5"/>
      <c r="T249" s="5"/>
      <c r="U249" s="5">
        <v>0</v>
      </c>
    </row>
    <row r="250" spans="2:21" ht="6.75" customHeight="1">
      <c r="B250" s="44"/>
      <c r="C250" s="17"/>
      <c r="D250" s="17"/>
      <c r="E250" s="19"/>
      <c r="F250" s="19"/>
      <c r="G250" s="19"/>
      <c r="H250" s="19"/>
      <c r="I250" s="19"/>
      <c r="J250" s="19"/>
      <c r="K250" s="19"/>
      <c r="L250" s="19"/>
      <c r="M250" s="19"/>
      <c r="N250" s="19"/>
      <c r="O250" s="5"/>
      <c r="P250" s="5"/>
      <c r="Q250" s="5"/>
      <c r="R250" s="5"/>
      <c r="S250" s="5"/>
      <c r="T250" s="5"/>
      <c r="U250" s="5">
        <v>0</v>
      </c>
    </row>
    <row r="251" spans="1:21" ht="12.75">
      <c r="A251" s="3">
        <v>139</v>
      </c>
      <c r="B251" s="65" t="s">
        <v>166</v>
      </c>
      <c r="C251" s="18"/>
      <c r="D251" s="87">
        <v>0.03</v>
      </c>
      <c r="E251" s="19">
        <f>NPV(D251,F249:T249)</f>
        <v>875992.820001396</v>
      </c>
      <c r="F251" s="18" t="s">
        <v>2</v>
      </c>
      <c r="G251" s="19"/>
      <c r="H251" s="19"/>
      <c r="I251" s="19"/>
      <c r="J251" s="19"/>
      <c r="K251" s="19"/>
      <c r="L251" s="19"/>
      <c r="M251" s="19"/>
      <c r="N251" s="19"/>
      <c r="T251" s="5"/>
      <c r="U251" s="5">
        <v>0</v>
      </c>
    </row>
    <row r="252" spans="1:21" ht="14.25">
      <c r="A252" s="3">
        <v>140</v>
      </c>
      <c r="B252" s="65" t="s">
        <v>281</v>
      </c>
      <c r="C252" s="18"/>
      <c r="D252" s="17"/>
      <c r="E252" s="47">
        <f>IRR(F249:T249,0.2)*F44</f>
        <v>0.38113632561648103</v>
      </c>
      <c r="F252" s="17"/>
      <c r="G252" s="17"/>
      <c r="H252" s="17"/>
      <c r="I252" s="17"/>
      <c r="J252" s="17"/>
      <c r="K252" s="17"/>
      <c r="L252" s="17"/>
      <c r="M252" s="17"/>
      <c r="N252" s="17"/>
      <c r="U252" s="5">
        <v>0</v>
      </c>
    </row>
    <row r="253" spans="2:21" ht="7.5" customHeight="1">
      <c r="B253" s="114" t="s">
        <v>238</v>
      </c>
      <c r="C253" s="112"/>
      <c r="D253" s="112"/>
      <c r="E253" s="112"/>
      <c r="F253" s="112"/>
      <c r="G253" s="112"/>
      <c r="H253" s="112"/>
      <c r="I253" s="112"/>
      <c r="J253" s="112"/>
      <c r="K253" s="112"/>
      <c r="L253" s="112"/>
      <c r="M253" s="112"/>
      <c r="N253" s="112"/>
      <c r="U253" s="5"/>
    </row>
    <row r="254" spans="2:21" ht="12.75">
      <c r="B254" s="113"/>
      <c r="C254" s="112"/>
      <c r="D254" s="112"/>
      <c r="E254" s="112"/>
      <c r="F254" s="112"/>
      <c r="G254" s="112"/>
      <c r="H254" s="112"/>
      <c r="I254" s="112"/>
      <c r="J254" s="112"/>
      <c r="K254" s="112"/>
      <c r="L254" s="112"/>
      <c r="M254" s="112"/>
      <c r="N254" s="112"/>
      <c r="T254" s="5"/>
      <c r="U254" s="5"/>
    </row>
    <row r="255" spans="2:21" ht="12.75">
      <c r="B255" s="113"/>
      <c r="C255" s="112"/>
      <c r="D255" s="112"/>
      <c r="E255" s="112"/>
      <c r="F255" s="112"/>
      <c r="G255" s="112"/>
      <c r="H255" s="112"/>
      <c r="I255" s="112"/>
      <c r="J255" s="112"/>
      <c r="K255" s="112"/>
      <c r="L255" s="112"/>
      <c r="M255" s="112"/>
      <c r="N255" s="112"/>
      <c r="U255" s="5"/>
    </row>
    <row r="256" spans="2:21" ht="8.25" customHeight="1">
      <c r="B256" s="111" t="s">
        <v>237</v>
      </c>
      <c r="C256" s="112"/>
      <c r="D256" s="112"/>
      <c r="E256" s="112"/>
      <c r="F256" s="112"/>
      <c r="G256" s="112"/>
      <c r="H256" s="112"/>
      <c r="I256" s="112"/>
      <c r="J256" s="112"/>
      <c r="K256" s="112"/>
      <c r="L256" s="112"/>
      <c r="M256" s="112"/>
      <c r="N256" s="112"/>
      <c r="T256" s="5"/>
      <c r="U256" s="5"/>
    </row>
    <row r="257" spans="2:21" ht="12.75">
      <c r="B257" s="113"/>
      <c r="C257" s="112"/>
      <c r="D257" s="112"/>
      <c r="E257" s="112"/>
      <c r="F257" s="112"/>
      <c r="G257" s="112"/>
      <c r="H257" s="112"/>
      <c r="I257" s="112"/>
      <c r="J257" s="112"/>
      <c r="K257" s="112"/>
      <c r="L257" s="112"/>
      <c r="M257" s="112"/>
      <c r="N257" s="112"/>
      <c r="T257" s="5"/>
      <c r="U257" s="5"/>
    </row>
    <row r="258" spans="2:21" ht="12.75">
      <c r="B258" s="113"/>
      <c r="C258" s="112"/>
      <c r="D258" s="112"/>
      <c r="E258" s="112"/>
      <c r="F258" s="112"/>
      <c r="G258" s="112"/>
      <c r="H258" s="112"/>
      <c r="I258" s="112"/>
      <c r="J258" s="112"/>
      <c r="K258" s="112"/>
      <c r="L258" s="112"/>
      <c r="M258" s="112"/>
      <c r="N258" s="112"/>
      <c r="T258" s="5"/>
      <c r="U258" s="5"/>
    </row>
    <row r="259" spans="2:21" ht="6" customHeight="1">
      <c r="B259" s="111" t="s">
        <v>236</v>
      </c>
      <c r="C259" s="112"/>
      <c r="D259" s="112"/>
      <c r="E259" s="112"/>
      <c r="F259" s="112"/>
      <c r="G259" s="112"/>
      <c r="H259" s="112"/>
      <c r="I259" s="112"/>
      <c r="J259" s="112"/>
      <c r="K259" s="112"/>
      <c r="L259" s="112"/>
      <c r="M259" s="112"/>
      <c r="N259" s="112"/>
      <c r="T259" s="5"/>
      <c r="U259" s="5"/>
    </row>
    <row r="260" spans="2:21" ht="12.75">
      <c r="B260" s="113"/>
      <c r="C260" s="112"/>
      <c r="D260" s="112"/>
      <c r="E260" s="112"/>
      <c r="F260" s="112"/>
      <c r="G260" s="112"/>
      <c r="H260" s="112"/>
      <c r="I260" s="112"/>
      <c r="J260" s="112"/>
      <c r="K260" s="112"/>
      <c r="L260" s="112"/>
      <c r="M260" s="112"/>
      <c r="N260" s="112"/>
      <c r="T260" s="5"/>
      <c r="U260" s="5"/>
    </row>
    <row r="261" spans="2:21" ht="12.75">
      <c r="B261" s="113"/>
      <c r="C261" s="112"/>
      <c r="D261" s="112"/>
      <c r="E261" s="112"/>
      <c r="F261" s="112"/>
      <c r="G261" s="112"/>
      <c r="H261" s="112"/>
      <c r="I261" s="112"/>
      <c r="J261" s="112"/>
      <c r="K261" s="112"/>
      <c r="L261" s="112"/>
      <c r="M261" s="112"/>
      <c r="N261" s="112"/>
      <c r="T261" s="5"/>
      <c r="U261" s="5"/>
    </row>
    <row r="262" spans="2:21" ht="7.5" customHeight="1">
      <c r="B262" s="102"/>
      <c r="C262" s="103"/>
      <c r="D262" s="104"/>
      <c r="E262" s="105"/>
      <c r="F262" s="105"/>
      <c r="G262" s="105"/>
      <c r="H262" s="105"/>
      <c r="I262" s="105"/>
      <c r="J262" s="105"/>
      <c r="K262" s="105"/>
      <c r="L262" s="105"/>
      <c r="M262" s="105"/>
      <c r="N262" s="105"/>
      <c r="T262" s="5"/>
      <c r="U262" s="5"/>
    </row>
    <row r="263" spans="2:21" ht="14.25">
      <c r="B263" s="111" t="s">
        <v>235</v>
      </c>
      <c r="C263" s="112"/>
      <c r="D263" s="112"/>
      <c r="E263" s="112"/>
      <c r="F263" s="112"/>
      <c r="G263" s="112"/>
      <c r="H263" s="112"/>
      <c r="I263" s="112"/>
      <c r="J263" s="112"/>
      <c r="K263" s="112"/>
      <c r="L263" s="112"/>
      <c r="M263" s="112"/>
      <c r="N263" s="112"/>
      <c r="T263" s="5"/>
      <c r="U263" s="5"/>
    </row>
    <row r="264" spans="2:21" ht="8.25" customHeight="1">
      <c r="B264" s="111" t="s">
        <v>234</v>
      </c>
      <c r="C264" s="112"/>
      <c r="D264" s="112"/>
      <c r="E264" s="112"/>
      <c r="F264" s="112"/>
      <c r="G264" s="112"/>
      <c r="H264" s="112"/>
      <c r="I264" s="112"/>
      <c r="J264" s="112"/>
      <c r="K264" s="112"/>
      <c r="L264" s="112"/>
      <c r="M264" s="112"/>
      <c r="N264" s="112"/>
      <c r="T264" s="5"/>
      <c r="U264" s="5"/>
    </row>
    <row r="265" spans="2:21" ht="12.75">
      <c r="B265" s="113"/>
      <c r="C265" s="112"/>
      <c r="D265" s="112"/>
      <c r="E265" s="112"/>
      <c r="F265" s="112"/>
      <c r="G265" s="112"/>
      <c r="H265" s="112"/>
      <c r="I265" s="112"/>
      <c r="J265" s="112"/>
      <c r="K265" s="112"/>
      <c r="L265" s="112"/>
      <c r="M265" s="112"/>
      <c r="N265" s="112"/>
      <c r="T265" s="5"/>
      <c r="U265" s="5"/>
    </row>
    <row r="266" spans="2:21" ht="12.75">
      <c r="B266" s="113"/>
      <c r="C266" s="112"/>
      <c r="D266" s="112"/>
      <c r="E266" s="112"/>
      <c r="F266" s="112"/>
      <c r="G266" s="112"/>
      <c r="H266" s="112"/>
      <c r="I266" s="112"/>
      <c r="J266" s="112"/>
      <c r="K266" s="112"/>
      <c r="L266" s="112"/>
      <c r="M266" s="112"/>
      <c r="N266" s="112"/>
      <c r="T266" s="5"/>
      <c r="U266" s="5"/>
    </row>
    <row r="267" spans="2:21" ht="7.5" customHeight="1">
      <c r="B267" s="113"/>
      <c r="C267" s="112"/>
      <c r="D267" s="112"/>
      <c r="E267" s="112"/>
      <c r="F267" s="112"/>
      <c r="G267" s="112"/>
      <c r="H267" s="112"/>
      <c r="I267" s="112"/>
      <c r="J267" s="112"/>
      <c r="K267" s="112"/>
      <c r="L267" s="112"/>
      <c r="M267" s="112"/>
      <c r="N267" s="112"/>
      <c r="T267" s="5"/>
      <c r="U267" s="5"/>
    </row>
    <row r="268" spans="5:20" ht="12.75">
      <c r="E268" s="5"/>
      <c r="F268" s="5"/>
      <c r="G268" s="5"/>
      <c r="H268" s="5"/>
      <c r="I268" s="5"/>
      <c r="J268" s="5"/>
      <c r="K268" s="5"/>
      <c r="L268" s="5"/>
      <c r="M268" s="5"/>
      <c r="N268" s="5"/>
      <c r="T268" s="5"/>
    </row>
    <row r="269" spans="2:20" ht="12.75">
      <c r="B269" s="41"/>
      <c r="E269" s="5"/>
      <c r="F269" s="5"/>
      <c r="G269" s="5"/>
      <c r="I269" s="5"/>
      <c r="J269" s="5"/>
      <c r="K269" s="5"/>
      <c r="L269" s="5"/>
      <c r="M269" s="5"/>
      <c r="N269" s="5"/>
      <c r="T269" s="5"/>
    </row>
    <row r="270" spans="3:20" ht="12.75">
      <c r="C270" s="42"/>
      <c r="D270" s="42"/>
      <c r="E270" s="42"/>
      <c r="F270" s="42"/>
      <c r="G270" s="42"/>
      <c r="H270" s="42"/>
      <c r="I270" s="5"/>
      <c r="J270" s="5"/>
      <c r="K270" s="5"/>
      <c r="L270" s="5"/>
      <c r="M270" s="5"/>
      <c r="N270" s="5"/>
      <c r="T270" s="5"/>
    </row>
    <row r="271" spans="5:20" ht="12.75">
      <c r="E271" s="5"/>
      <c r="F271" s="5"/>
      <c r="G271" s="5"/>
      <c r="H271" s="5"/>
      <c r="I271" s="5"/>
      <c r="J271" s="5"/>
      <c r="K271" s="5"/>
      <c r="L271" s="5"/>
      <c r="M271" s="5"/>
      <c r="N271" s="5"/>
      <c r="T271" s="5"/>
    </row>
    <row r="272" spans="2:20" ht="12.75">
      <c r="B272" s="6"/>
      <c r="C272" s="6"/>
      <c r="E272" s="5"/>
      <c r="F272" s="5"/>
      <c r="G272" s="5"/>
      <c r="H272" s="5"/>
      <c r="I272" s="5"/>
      <c r="J272" s="5"/>
      <c r="K272" s="5"/>
      <c r="L272" s="5"/>
      <c r="M272" s="5"/>
      <c r="N272" s="5"/>
      <c r="T272" s="5"/>
    </row>
    <row r="273" spans="2:20" ht="12.75">
      <c r="B273" s="8"/>
      <c r="C273" s="8"/>
      <c r="E273" s="5"/>
      <c r="F273" s="5"/>
      <c r="G273" s="5"/>
      <c r="H273" s="5"/>
      <c r="I273" s="5"/>
      <c r="J273" s="5"/>
      <c r="K273" s="5"/>
      <c r="L273" s="5"/>
      <c r="M273" s="5"/>
      <c r="N273" s="5"/>
      <c r="T273" s="5"/>
    </row>
    <row r="274" spans="2:20" ht="12.75">
      <c r="B274" s="6"/>
      <c r="C274" s="6"/>
      <c r="E274" s="5"/>
      <c r="F274" s="5"/>
      <c r="G274" s="5"/>
      <c r="H274" s="5"/>
      <c r="I274" s="5"/>
      <c r="J274" s="5"/>
      <c r="K274" s="5"/>
      <c r="L274" s="5"/>
      <c r="M274" s="5"/>
      <c r="N274" s="5"/>
      <c r="T274" s="5"/>
    </row>
    <row r="275" spans="5:20" ht="12.75">
      <c r="E275" s="5"/>
      <c r="F275" s="5"/>
      <c r="G275" s="5"/>
      <c r="H275" s="5"/>
      <c r="I275" s="5"/>
      <c r="J275" s="5"/>
      <c r="K275" s="5"/>
      <c r="L275" s="5"/>
      <c r="M275" s="5"/>
      <c r="N275" s="5"/>
      <c r="T275" s="5"/>
    </row>
    <row r="277" spans="2:5" ht="12.75">
      <c r="B277" s="6"/>
      <c r="C277" s="6"/>
      <c r="D277" s="5"/>
      <c r="E277" s="5"/>
    </row>
    <row r="278" ht="12.75">
      <c r="E278" s="5"/>
    </row>
    <row r="279" spans="2:3" ht="12.75">
      <c r="B279" s="6"/>
      <c r="C279" s="6"/>
    </row>
    <row r="280" spans="2:3" ht="12.75">
      <c r="B280" s="6"/>
      <c r="C280" s="6"/>
    </row>
    <row r="281" spans="2:3" ht="12.75">
      <c r="B281" s="6"/>
      <c r="C281" s="6"/>
    </row>
    <row r="282" spans="2:10" ht="12.75">
      <c r="B282" s="6"/>
      <c r="C282" s="6"/>
      <c r="E282" s="5"/>
      <c r="F282" s="5"/>
      <c r="G282" s="5"/>
      <c r="H282" s="5"/>
      <c r="I282" s="5"/>
      <c r="J282" s="5"/>
    </row>
    <row r="283" spans="2:10" ht="12.75">
      <c r="B283" s="6"/>
      <c r="C283" s="6"/>
      <c r="E283" s="5"/>
      <c r="F283" s="5"/>
      <c r="G283" s="5"/>
      <c r="H283" s="5"/>
      <c r="I283" s="5"/>
      <c r="J283" s="5"/>
    </row>
    <row r="284" spans="5:10" ht="12.75">
      <c r="E284" s="5"/>
      <c r="F284" s="5"/>
      <c r="G284" s="5"/>
      <c r="H284" s="5"/>
      <c r="I284" s="5"/>
      <c r="J284" s="5"/>
    </row>
    <row r="285" spans="2:10" ht="12.75">
      <c r="B285" s="6"/>
      <c r="C285" s="6"/>
      <c r="E285" s="5"/>
      <c r="F285" s="5"/>
      <c r="G285" s="5"/>
      <c r="H285" s="5"/>
      <c r="I285" s="5"/>
      <c r="J285" s="5"/>
    </row>
    <row r="286" spans="2:10" ht="12.75">
      <c r="B286" s="6"/>
      <c r="C286" s="6"/>
      <c r="E286" s="5"/>
      <c r="F286" s="5"/>
      <c r="G286" s="5"/>
      <c r="H286" s="5"/>
      <c r="I286" s="5"/>
      <c r="J286" s="5"/>
    </row>
    <row r="287" spans="2:10" ht="12.75">
      <c r="B287" s="6"/>
      <c r="C287" s="6"/>
      <c r="E287" s="5"/>
      <c r="F287" s="5"/>
      <c r="G287" s="5"/>
      <c r="H287" s="5"/>
      <c r="I287" s="5"/>
      <c r="J287" s="5"/>
    </row>
    <row r="288" spans="5:10" ht="12.75">
      <c r="E288" s="5"/>
      <c r="F288" s="5"/>
      <c r="G288" s="5"/>
      <c r="H288" s="5"/>
      <c r="I288" s="5"/>
      <c r="J288" s="5"/>
    </row>
    <row r="289" spans="2:10" ht="12.75">
      <c r="B289" s="6"/>
      <c r="C289" s="6"/>
      <c r="E289" s="5"/>
      <c r="F289" s="5"/>
      <c r="G289" s="5"/>
      <c r="H289" s="5"/>
      <c r="I289" s="5"/>
      <c r="J289" s="5"/>
    </row>
    <row r="290" spans="2:10" ht="12.75">
      <c r="B290" s="6"/>
      <c r="C290" s="6"/>
      <c r="E290" s="5"/>
      <c r="F290" s="5"/>
      <c r="G290" s="5"/>
      <c r="H290" s="5"/>
      <c r="I290" s="5"/>
      <c r="J290" s="5"/>
    </row>
    <row r="291" spans="2:3" ht="12.75">
      <c r="B291" s="6"/>
      <c r="C291" s="6"/>
    </row>
    <row r="292" spans="2:10" ht="12.75">
      <c r="B292" s="6"/>
      <c r="C292" s="6"/>
      <c r="E292" s="5"/>
      <c r="F292" s="5"/>
      <c r="G292" s="5"/>
      <c r="H292" s="5"/>
      <c r="I292" s="5"/>
      <c r="J292" s="5"/>
    </row>
    <row r="293" spans="2:10" ht="12.75">
      <c r="B293" s="6"/>
      <c r="C293" s="6"/>
      <c r="E293" s="5"/>
      <c r="F293" s="5"/>
      <c r="G293" s="5"/>
      <c r="H293" s="5"/>
      <c r="I293" s="5"/>
      <c r="J293" s="5"/>
    </row>
    <row r="294" spans="5:10" ht="12.75">
      <c r="E294" s="5"/>
      <c r="F294" s="5"/>
      <c r="G294" s="5"/>
      <c r="H294" s="5"/>
      <c r="I294" s="5"/>
      <c r="J294" s="5"/>
    </row>
    <row r="295" spans="2:3" ht="12.75">
      <c r="B295" s="6"/>
      <c r="C295" s="6"/>
    </row>
    <row r="296" spans="2:3" ht="12.75">
      <c r="B296" s="6"/>
      <c r="C296" s="6"/>
    </row>
    <row r="297" spans="2:3" ht="12.75">
      <c r="B297" s="6"/>
      <c r="C297" s="6"/>
    </row>
    <row r="299" spans="2:3" ht="12.75">
      <c r="B299" s="6"/>
      <c r="C299" s="6"/>
    </row>
    <row r="300" spans="2:3" ht="12.75">
      <c r="B300" s="6"/>
      <c r="C300" s="6"/>
    </row>
    <row r="301" spans="2:3" ht="12.75">
      <c r="B301" s="6"/>
      <c r="C301" s="6"/>
    </row>
  </sheetData>
  <sheetProtection/>
  <mergeCells count="34">
    <mergeCell ref="B122:N125"/>
    <mergeCell ref="B169:N169"/>
    <mergeCell ref="B171:N171"/>
    <mergeCell ref="B173:N173"/>
    <mergeCell ref="B129:N129"/>
    <mergeCell ref="B130:N130"/>
    <mergeCell ref="B186:N186"/>
    <mergeCell ref="B187:N187"/>
    <mergeCell ref="B175:N175"/>
    <mergeCell ref="B256:N258"/>
    <mergeCell ref="B259:N261"/>
    <mergeCell ref="B263:N263"/>
    <mergeCell ref="B176:N178"/>
    <mergeCell ref="B179:N181"/>
    <mergeCell ref="B41:N41"/>
    <mergeCell ref="C34:M36"/>
    <mergeCell ref="C37:M39"/>
    <mergeCell ref="B264:N267"/>
    <mergeCell ref="B182:N184"/>
    <mergeCell ref="B127:N127"/>
    <mergeCell ref="B221:N221"/>
    <mergeCell ref="B253:N255"/>
    <mergeCell ref="B223:N223"/>
    <mergeCell ref="B224:N224"/>
    <mergeCell ref="B104:N106"/>
    <mergeCell ref="B116:N118"/>
    <mergeCell ref="B1:L1"/>
    <mergeCell ref="B119:N120"/>
    <mergeCell ref="B107:N109"/>
    <mergeCell ref="B111:N111"/>
    <mergeCell ref="B113:N113"/>
    <mergeCell ref="B115:N115"/>
    <mergeCell ref="B2:N2"/>
    <mergeCell ref="B3:N3"/>
  </mergeCells>
  <printOptions gridLines="1"/>
  <pageMargins left="0.75" right="0.75" top="1" bottom="1" header="0.5" footer="0.5"/>
  <pageSetup fitToHeight="6" horizontalDpi="300" verticalDpi="300" orientation="landscape" scale="70" r:id="rId1"/>
  <headerFooter alignWithMargins="0">
    <oddHeader>&amp;LPage &amp;P&amp;CLANDEV&amp;R&amp;D</oddHeader>
    <oddFooter>&amp;CSoftware by Peiser Corporation</oddFooter>
  </headerFooter>
</worksheet>
</file>

<file path=xl/worksheets/sheet2.xml><?xml version="1.0" encoding="utf-8"?>
<worksheet xmlns="http://schemas.openxmlformats.org/spreadsheetml/2006/main" xmlns:r="http://schemas.openxmlformats.org/officeDocument/2006/relationships">
  <dimension ref="A1:J38"/>
  <sheetViews>
    <sheetView zoomScale="75" zoomScaleNormal="75" zoomScalePageLayoutView="0" workbookViewId="0" topLeftCell="A1">
      <selection activeCell="M16" sqref="M16"/>
    </sheetView>
  </sheetViews>
  <sheetFormatPr defaultColWidth="9.00390625" defaultRowHeight="12.75"/>
  <cols>
    <col min="1" max="3" width="9.00390625" style="3" customWidth="1"/>
    <col min="4" max="4" width="12.875" style="3" customWidth="1"/>
    <col min="5" max="5" width="13.00390625" style="3" customWidth="1"/>
    <col min="6" max="6" width="14.25390625" style="3" customWidth="1"/>
    <col min="7" max="7" width="13.375" style="3" customWidth="1"/>
    <col min="8" max="16384" width="9.00390625" style="3" customWidth="1"/>
  </cols>
  <sheetData>
    <row r="1" spans="1:10" ht="12.75">
      <c r="A1" s="133" t="s">
        <v>81</v>
      </c>
      <c r="B1" s="134"/>
      <c r="C1" s="134"/>
      <c r="D1" s="134"/>
      <c r="E1" s="134"/>
      <c r="F1" s="134"/>
      <c r="G1" s="134"/>
      <c r="H1" s="134"/>
      <c r="I1" s="134"/>
      <c r="J1" s="134"/>
    </row>
    <row r="2" spans="1:10" ht="12.75">
      <c r="A2" s="134" t="s">
        <v>109</v>
      </c>
      <c r="B2" s="134"/>
      <c r="C2" s="134"/>
      <c r="D2" s="134"/>
      <c r="E2" s="134"/>
      <c r="F2" s="134"/>
      <c r="G2" s="134"/>
      <c r="H2" s="134"/>
      <c r="I2" s="134"/>
      <c r="J2" s="134"/>
    </row>
    <row r="3" spans="1:10" ht="12.75">
      <c r="A3" s="134"/>
      <c r="B3" s="134"/>
      <c r="C3" s="134"/>
      <c r="D3" s="134"/>
      <c r="E3" s="134"/>
      <c r="F3" s="134"/>
      <c r="G3" s="134"/>
      <c r="H3" s="134"/>
      <c r="I3" s="134"/>
      <c r="J3" s="134"/>
    </row>
    <row r="4" spans="1:10" ht="12.75">
      <c r="A4" s="134"/>
      <c r="B4" s="134"/>
      <c r="C4" s="134"/>
      <c r="D4" s="134"/>
      <c r="E4" s="134"/>
      <c r="F4" s="134"/>
      <c r="G4" s="134"/>
      <c r="H4" s="134"/>
      <c r="I4" s="134"/>
      <c r="J4" s="134"/>
    </row>
    <row r="5" spans="1:10" ht="12.75">
      <c r="A5" s="133" t="s">
        <v>84</v>
      </c>
      <c r="B5" s="134"/>
      <c r="C5" s="134"/>
      <c r="D5" s="134"/>
      <c r="E5" s="134"/>
      <c r="F5" s="134"/>
      <c r="G5" s="134"/>
      <c r="H5" s="134"/>
      <c r="I5" s="134"/>
      <c r="J5" s="134"/>
    </row>
    <row r="6" spans="1:10" ht="12.75">
      <c r="A6" s="134" t="s">
        <v>82</v>
      </c>
      <c r="B6" s="134"/>
      <c r="C6" s="134"/>
      <c r="D6" s="134"/>
      <c r="E6" s="135" t="s">
        <v>83</v>
      </c>
      <c r="F6" s="135" t="s">
        <v>84</v>
      </c>
      <c r="G6" s="135" t="s">
        <v>104</v>
      </c>
      <c r="H6" s="135" t="s">
        <v>105</v>
      </c>
      <c r="I6" s="134"/>
      <c r="J6" s="134"/>
    </row>
    <row r="7" spans="1:10" ht="12.75">
      <c r="A7" s="134"/>
      <c r="B7" s="134" t="s">
        <v>68</v>
      </c>
      <c r="C7" s="134"/>
      <c r="D7" s="134">
        <v>27</v>
      </c>
      <c r="E7" s="136">
        <v>160000</v>
      </c>
      <c r="F7" s="134">
        <f>E7*D7</f>
        <v>4320000</v>
      </c>
      <c r="G7" s="134"/>
      <c r="H7" s="134"/>
      <c r="I7" s="134"/>
      <c r="J7" s="134"/>
    </row>
    <row r="8" spans="1:10" ht="12.75">
      <c r="A8" s="134"/>
      <c r="B8" s="134" t="s">
        <v>69</v>
      </c>
      <c r="C8" s="134"/>
      <c r="D8" s="134">
        <v>27</v>
      </c>
      <c r="E8" s="136">
        <v>162000</v>
      </c>
      <c r="F8" s="134">
        <f>E8*D8</f>
        <v>4374000</v>
      </c>
      <c r="G8" s="134"/>
      <c r="H8" s="134"/>
      <c r="I8" s="134"/>
      <c r="J8" s="134"/>
    </row>
    <row r="9" spans="1:10" ht="12.75">
      <c r="A9" s="134"/>
      <c r="B9" s="134" t="s">
        <v>70</v>
      </c>
      <c r="C9" s="134"/>
      <c r="D9" s="134">
        <v>26</v>
      </c>
      <c r="E9" s="136">
        <v>164000</v>
      </c>
      <c r="F9" s="134">
        <f>E9*D9</f>
        <v>4264000</v>
      </c>
      <c r="G9" s="134"/>
      <c r="H9" s="134"/>
      <c r="I9" s="134"/>
      <c r="J9" s="134"/>
    </row>
    <row r="10" spans="1:10" ht="12.75">
      <c r="A10" s="134"/>
      <c r="B10" s="134" t="s">
        <v>71</v>
      </c>
      <c r="C10" s="134"/>
      <c r="D10" s="137">
        <v>31</v>
      </c>
      <c r="E10" s="136">
        <v>166000</v>
      </c>
      <c r="F10" s="137">
        <f>E10*D10</f>
        <v>5146000</v>
      </c>
      <c r="G10" s="134"/>
      <c r="H10" s="134"/>
      <c r="I10" s="134"/>
      <c r="J10" s="134"/>
    </row>
    <row r="11" spans="1:10" ht="12.75">
      <c r="A11" s="134"/>
      <c r="B11" s="134"/>
      <c r="C11" s="134"/>
      <c r="D11" s="134">
        <f>SUM(D7:D10)</f>
        <v>111</v>
      </c>
      <c r="E11" s="134"/>
      <c r="F11" s="134"/>
      <c r="G11" s="134">
        <f>SUM(F7:F10)</f>
        <v>18104000</v>
      </c>
      <c r="H11" s="134">
        <f>G11/$D$11</f>
        <v>163099.0990990991</v>
      </c>
      <c r="I11" s="134"/>
      <c r="J11" s="134"/>
    </row>
    <row r="12" spans="1:10" ht="12.75">
      <c r="A12" s="134"/>
      <c r="B12" s="134"/>
      <c r="C12" s="134"/>
      <c r="D12" s="134"/>
      <c r="E12" s="134"/>
      <c r="F12" s="134"/>
      <c r="G12" s="134"/>
      <c r="H12" s="134"/>
      <c r="I12" s="134"/>
      <c r="J12" s="134"/>
    </row>
    <row r="13" spans="1:10" ht="12.75">
      <c r="A13" s="133" t="s">
        <v>103</v>
      </c>
      <c r="B13" s="134"/>
      <c r="C13" s="134"/>
      <c r="D13" s="134"/>
      <c r="E13" s="134"/>
      <c r="F13" s="134"/>
      <c r="G13" s="134"/>
      <c r="H13" s="134"/>
      <c r="I13" s="134"/>
      <c r="J13" s="134"/>
    </row>
    <row r="14" spans="1:10" ht="12.75">
      <c r="A14" s="134" t="s">
        <v>85</v>
      </c>
      <c r="B14" s="134"/>
      <c r="C14" s="134"/>
      <c r="D14" s="134"/>
      <c r="E14" s="134"/>
      <c r="F14" s="134"/>
      <c r="G14" s="134">
        <v>9276500</v>
      </c>
      <c r="H14" s="134">
        <f>G14/$D$11</f>
        <v>83572.07207207207</v>
      </c>
      <c r="I14" s="134"/>
      <c r="J14" s="134"/>
    </row>
    <row r="15" spans="1:10" ht="12.75">
      <c r="A15" s="134" t="s">
        <v>86</v>
      </c>
      <c r="B15" s="134"/>
      <c r="C15" s="134"/>
      <c r="D15" s="134"/>
      <c r="E15" s="134"/>
      <c r="F15" s="134"/>
      <c r="G15" s="134"/>
      <c r="H15" s="134"/>
      <c r="I15" s="134"/>
      <c r="J15" s="134"/>
    </row>
    <row r="16" spans="1:10" ht="12.75">
      <c r="A16" s="134"/>
      <c r="B16" s="134" t="s">
        <v>75</v>
      </c>
      <c r="C16" s="134"/>
      <c r="D16" s="134"/>
      <c r="E16" s="134"/>
      <c r="F16" s="134">
        <v>299868.34078438574</v>
      </c>
      <c r="G16" s="134"/>
      <c r="H16" s="134"/>
      <c r="I16" s="134"/>
      <c r="J16" s="134"/>
    </row>
    <row r="17" spans="1:10" ht="12.75">
      <c r="A17" s="134"/>
      <c r="B17" s="134" t="s">
        <v>76</v>
      </c>
      <c r="C17" s="134"/>
      <c r="D17" s="134"/>
      <c r="E17" s="134"/>
      <c r="F17" s="134">
        <v>675516.6312773125</v>
      </c>
      <c r="G17" s="134"/>
      <c r="H17" s="134"/>
      <c r="I17" s="134"/>
      <c r="J17" s="134"/>
    </row>
    <row r="18" spans="1:10" ht="12.75">
      <c r="A18" s="134"/>
      <c r="B18" s="134" t="s">
        <v>77</v>
      </c>
      <c r="C18" s="134"/>
      <c r="D18" s="134"/>
      <c r="E18" s="134"/>
      <c r="F18" s="134">
        <v>345921.5730584704</v>
      </c>
      <c r="G18" s="134"/>
      <c r="H18" s="134"/>
      <c r="I18" s="134"/>
      <c r="J18" s="134"/>
    </row>
    <row r="19" spans="1:10" ht="12.75">
      <c r="A19" s="134"/>
      <c r="B19" s="134" t="s">
        <v>78</v>
      </c>
      <c r="C19" s="134"/>
      <c r="D19" s="134"/>
      <c r="E19" s="134"/>
      <c r="F19" s="134">
        <v>304797.9707308237</v>
      </c>
      <c r="G19" s="134"/>
      <c r="H19" s="134"/>
      <c r="I19" s="134"/>
      <c r="J19" s="134"/>
    </row>
    <row r="20" spans="1:10" ht="12.75">
      <c r="A20" s="134"/>
      <c r="B20" s="134" t="s">
        <v>79</v>
      </c>
      <c r="C20" s="134"/>
      <c r="D20" s="134"/>
      <c r="E20" s="134"/>
      <c r="F20" s="134">
        <v>245117.98265586197</v>
      </c>
      <c r="G20" s="134"/>
      <c r="H20" s="134"/>
      <c r="I20" s="134"/>
      <c r="J20" s="134"/>
    </row>
    <row r="21" spans="1:10" ht="12.75">
      <c r="A21" s="134"/>
      <c r="B21" s="134" t="s">
        <v>80</v>
      </c>
      <c r="C21" s="134"/>
      <c r="D21" s="134"/>
      <c r="E21" s="134"/>
      <c r="F21" s="134">
        <v>630195.5014931456</v>
      </c>
      <c r="G21" s="134"/>
      <c r="H21" s="134"/>
      <c r="I21" s="134"/>
      <c r="J21" s="134"/>
    </row>
    <row r="22" spans="1:10" ht="12.75">
      <c r="A22" s="134"/>
      <c r="B22" s="134" t="s">
        <v>72</v>
      </c>
      <c r="C22" s="134"/>
      <c r="D22" s="134"/>
      <c r="E22" s="134"/>
      <c r="F22" s="134">
        <v>1825395</v>
      </c>
      <c r="G22" s="134"/>
      <c r="H22" s="134"/>
      <c r="I22" s="134"/>
      <c r="J22" s="134"/>
    </row>
    <row r="23" spans="1:10" ht="12.75">
      <c r="A23" s="134"/>
      <c r="B23" s="134" t="s">
        <v>73</v>
      </c>
      <c r="C23" s="134"/>
      <c r="D23" s="134"/>
      <c r="E23" s="134"/>
      <c r="F23" s="134">
        <v>610833</v>
      </c>
      <c r="G23" s="134"/>
      <c r="H23" s="134"/>
      <c r="I23" s="134"/>
      <c r="J23" s="134"/>
    </row>
    <row r="24" spans="1:10" ht="12.75">
      <c r="A24" s="134"/>
      <c r="B24" s="134" t="s">
        <v>74</v>
      </c>
      <c r="C24" s="134"/>
      <c r="D24" s="134"/>
      <c r="E24" s="134"/>
      <c r="F24" s="134">
        <v>277554</v>
      </c>
      <c r="G24" s="134"/>
      <c r="H24" s="134"/>
      <c r="I24" s="134"/>
      <c r="J24" s="134"/>
    </row>
    <row r="25" spans="1:10" ht="12.75">
      <c r="A25" s="134"/>
      <c r="B25" s="134" t="s">
        <v>96</v>
      </c>
      <c r="C25" s="134"/>
      <c r="D25" s="134"/>
      <c r="E25" s="134"/>
      <c r="F25" s="134">
        <f>0.02*12600000</f>
        <v>252000</v>
      </c>
      <c r="G25" s="134"/>
      <c r="H25" s="134"/>
      <c r="I25" s="134"/>
      <c r="J25" s="134"/>
    </row>
    <row r="26" spans="1:10" ht="12.75">
      <c r="A26" s="134" t="s">
        <v>100</v>
      </c>
      <c r="B26" s="134"/>
      <c r="C26" s="134"/>
      <c r="D26" s="138">
        <v>0.05</v>
      </c>
      <c r="E26" s="134" t="s">
        <v>87</v>
      </c>
      <c r="F26" s="134">
        <f>G11*D26</f>
        <v>905200</v>
      </c>
      <c r="G26" s="134"/>
      <c r="H26" s="134"/>
      <c r="I26" s="134"/>
      <c r="J26" s="134"/>
    </row>
    <row r="27" spans="1:10" ht="12.75">
      <c r="A27" s="134" t="s">
        <v>101</v>
      </c>
      <c r="B27" s="134"/>
      <c r="C27" s="134"/>
      <c r="D27" s="138">
        <v>0.05</v>
      </c>
      <c r="E27" s="134" t="s">
        <v>87</v>
      </c>
      <c r="F27" s="137">
        <f>G11*D27</f>
        <v>905200</v>
      </c>
      <c r="G27" s="134"/>
      <c r="H27" s="134"/>
      <c r="I27" s="134"/>
      <c r="J27" s="134"/>
    </row>
    <row r="28" spans="1:10" ht="12.75">
      <c r="A28" s="134" t="s">
        <v>102</v>
      </c>
      <c r="B28" s="134"/>
      <c r="C28" s="134"/>
      <c r="D28" s="138"/>
      <c r="E28" s="134"/>
      <c r="F28" s="134"/>
      <c r="G28" s="137">
        <f>SUM(F16:F27)</f>
        <v>7277600</v>
      </c>
      <c r="H28" s="137">
        <f>G28/$D$11</f>
        <v>65563.96396396396</v>
      </c>
      <c r="I28" s="134"/>
      <c r="J28" s="134"/>
    </row>
    <row r="29" spans="1:10" ht="12.75">
      <c r="A29" s="134" t="s">
        <v>88</v>
      </c>
      <c r="B29" s="134"/>
      <c r="C29" s="134"/>
      <c r="D29" s="134"/>
      <c r="E29" s="134"/>
      <c r="F29" s="134"/>
      <c r="G29" s="134">
        <f>G14+G28</f>
        <v>16554100</v>
      </c>
      <c r="H29" s="134">
        <f>G29/$D$11</f>
        <v>149136.03603603604</v>
      </c>
      <c r="I29" s="134"/>
      <c r="J29" s="134"/>
    </row>
    <row r="30" spans="1:10" ht="12.75">
      <c r="A30" s="134"/>
      <c r="B30" s="134" t="s">
        <v>95</v>
      </c>
      <c r="C30" s="134"/>
      <c r="D30" s="134"/>
      <c r="E30" s="134"/>
      <c r="F30" s="134"/>
      <c r="G30" s="134"/>
      <c r="H30" s="134"/>
      <c r="I30" s="134"/>
      <c r="J30" s="134"/>
    </row>
    <row r="31" spans="1:10" ht="12.75">
      <c r="A31" s="134"/>
      <c r="B31" s="134"/>
      <c r="C31" s="134" t="s">
        <v>89</v>
      </c>
      <c r="D31" s="134"/>
      <c r="E31" s="134"/>
      <c r="F31" s="134">
        <v>4000000</v>
      </c>
      <c r="G31" s="134"/>
      <c r="H31" s="134"/>
      <c r="I31" s="134"/>
      <c r="J31" s="134"/>
    </row>
    <row r="32" spans="1:10" ht="12.75">
      <c r="A32" s="134"/>
      <c r="B32" s="134"/>
      <c r="C32" s="134" t="s">
        <v>90</v>
      </c>
      <c r="D32" s="134"/>
      <c r="E32" s="134"/>
      <c r="F32" s="134">
        <f>G29-F31</f>
        <v>12554100</v>
      </c>
      <c r="G32" s="134"/>
      <c r="H32" s="134"/>
      <c r="I32" s="134"/>
      <c r="J32" s="134"/>
    </row>
    <row r="33" spans="1:10" ht="12.75">
      <c r="A33" s="134"/>
      <c r="B33" s="134"/>
      <c r="C33" s="134" t="s">
        <v>91</v>
      </c>
      <c r="D33" s="134"/>
      <c r="E33" s="138">
        <v>0.5</v>
      </c>
      <c r="F33" s="134">
        <f>F32*E33</f>
        <v>6277050</v>
      </c>
      <c r="G33" s="134"/>
      <c r="H33" s="134"/>
      <c r="I33" s="134"/>
      <c r="J33" s="134"/>
    </row>
    <row r="34" spans="1:10" ht="12.75">
      <c r="A34" s="134"/>
      <c r="B34" s="134"/>
      <c r="C34" s="134" t="s">
        <v>92</v>
      </c>
      <c r="D34" s="134"/>
      <c r="E34" s="139" t="s">
        <v>99</v>
      </c>
      <c r="F34" s="134"/>
      <c r="G34" s="134"/>
      <c r="H34" s="134"/>
      <c r="I34" s="134"/>
      <c r="J34" s="134"/>
    </row>
    <row r="35" spans="1:10" ht="12.75">
      <c r="A35" s="134"/>
      <c r="B35" s="134"/>
      <c r="C35" s="134" t="s">
        <v>93</v>
      </c>
      <c r="D35" s="134"/>
      <c r="E35" s="140">
        <v>0.075</v>
      </c>
      <c r="F35" s="134"/>
      <c r="G35" s="137">
        <f>F33*1*E35</f>
        <v>470778.75</v>
      </c>
      <c r="H35" s="141" t="s">
        <v>106</v>
      </c>
      <c r="I35" s="134"/>
      <c r="J35" s="134"/>
    </row>
    <row r="36" spans="1:10" ht="12.75">
      <c r="A36" s="134" t="s">
        <v>97</v>
      </c>
      <c r="B36" s="134"/>
      <c r="C36" s="134"/>
      <c r="D36" s="134"/>
      <c r="E36" s="134"/>
      <c r="F36" s="134"/>
      <c r="G36" s="134">
        <f>G35+G29</f>
        <v>17024878.75</v>
      </c>
      <c r="H36" s="134">
        <f>G36/$D$11</f>
        <v>153377.28603603604</v>
      </c>
      <c r="I36" s="134"/>
      <c r="J36" s="134"/>
    </row>
    <row r="37" spans="1:10" ht="12.75">
      <c r="A37" s="134"/>
      <c r="B37" s="134"/>
      <c r="C37" s="134"/>
      <c r="D37" s="134"/>
      <c r="E37" s="134"/>
      <c r="F37" s="134"/>
      <c r="G37" s="134"/>
      <c r="H37" s="134"/>
      <c r="I37" s="134"/>
      <c r="J37" s="134"/>
    </row>
    <row r="38" spans="1:10" ht="12.75">
      <c r="A38" s="134" t="s">
        <v>98</v>
      </c>
      <c r="B38" s="134"/>
      <c r="C38" s="134"/>
      <c r="D38" s="134"/>
      <c r="E38" s="134"/>
      <c r="F38" s="134"/>
      <c r="G38" s="134">
        <f>G11-G36</f>
        <v>1079121.25</v>
      </c>
      <c r="H38" s="134">
        <f>G38/$D$11</f>
        <v>9721.813063063064</v>
      </c>
      <c r="I38" s="140">
        <f>G38/G29</f>
        <v>0.06518755172434623</v>
      </c>
      <c r="J38" s="140">
        <f>G38/G11</f>
        <v>0.05960678579319487</v>
      </c>
    </row>
  </sheetData>
  <sheetProtection/>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Simon Cushing</dc:creator>
  <cp:keywords/>
  <dc:description/>
  <cp:lastModifiedBy>Adrienne Schmitz</cp:lastModifiedBy>
  <cp:lastPrinted>2012-03-07T18:37:46Z</cp:lastPrinted>
  <dcterms:created xsi:type="dcterms:W3CDTF">2002-04-03T15:20:39Z</dcterms:created>
  <dcterms:modified xsi:type="dcterms:W3CDTF">2012-04-25T13:31:02Z</dcterms:modified>
  <cp:category/>
  <cp:version/>
  <cp:contentType/>
  <cp:contentStatus/>
</cp:coreProperties>
</file>